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_FilterDatabase" localSheetId="0" hidden="1">Sheet1!$A$4:$HK$217</definedName>
    <definedName name="_xlnm.Print_Titles" localSheetId="0">Sheet1!$4:$6</definedName>
    <definedName name="_xlnm.Print_Area" localSheetId="0">Sheet1!$A$1:$O$217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<sst xmlns="http://schemas.openxmlformats.org/spreadsheetml/2006/main" count="689" uniqueCount="152">
  <si>
    <t>附件</t>
  </si>
  <si>
    <t>钦北区2025年财政衔接推进乡村振兴补助资金项目第三次调整前后对照表</t>
  </si>
  <si>
    <t>金额单位：万元</t>
  </si>
  <si>
    <t>序号</t>
  </si>
  <si>
    <t>项目名称</t>
  </si>
  <si>
    <t>项目类型</t>
  </si>
  <si>
    <t>调整前</t>
  </si>
  <si>
    <t>调整后</t>
  </si>
  <si>
    <t>资金来源
（文号）</t>
  </si>
  <si>
    <t>安排资金金额</t>
  </si>
  <si>
    <t>合计</t>
  </si>
  <si>
    <t>中央</t>
  </si>
  <si>
    <t>自治区</t>
  </si>
  <si>
    <t>市级</t>
  </si>
  <si>
    <t>区本级</t>
  </si>
  <si>
    <r>
      <rPr>
        <sz val="14"/>
        <rFont val="仿宋_GB2312"/>
        <charset val="134"/>
      </rPr>
      <t>小董镇西陵村委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年六琴水库至稳志村渠道建设项目</t>
    </r>
  </si>
  <si>
    <r>
      <rPr>
        <sz val="14"/>
        <rFont val="仿宋_GB2312"/>
        <charset val="134"/>
      </rPr>
      <t>产业发展</t>
    </r>
  </si>
  <si>
    <r>
      <rPr>
        <sz val="14"/>
        <rFont val="仿宋_GB2312"/>
        <charset val="134"/>
      </rPr>
      <t>钦市财农〔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78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</si>
  <si>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钦北财农〔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5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</si>
  <si>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小董镇奇陵村委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年那享水库板暮渠道建设项目</t>
    </r>
  </si>
  <si>
    <r>
      <rPr>
        <sz val="14"/>
        <rFont val="仿宋_GB2312"/>
        <charset val="134"/>
      </rPr>
      <t>大直镇双那村委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年派墨片区农田水利项目</t>
    </r>
  </si>
  <si>
    <r>
      <rPr>
        <sz val="14"/>
        <rFont val="仿宋_GB2312"/>
        <charset val="134"/>
      </rPr>
      <t>大直镇那泮村委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年滩浪农田水利项目</t>
    </r>
  </si>
  <si>
    <r>
      <rPr>
        <sz val="14"/>
        <rFont val="仿宋_GB2312"/>
        <charset val="134"/>
      </rPr>
      <t>板城镇三联村委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年小型水利项目</t>
    </r>
  </si>
  <si>
    <r>
      <rPr>
        <sz val="14"/>
        <rFont val="仿宋_GB2312"/>
        <charset val="134"/>
      </rPr>
      <t>钦市财农〔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16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</si>
  <si>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大垌镇大垌社区北极垌农田水利灌排项目</t>
    </r>
  </si>
  <si>
    <r>
      <rPr>
        <sz val="14"/>
        <rFont val="仿宋_GB2312"/>
        <charset val="134"/>
      </rPr>
      <t>那蒙镇那蒙村委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年坛宁村农田水利灌溉项目</t>
    </r>
  </si>
  <si>
    <r>
      <rPr>
        <sz val="14"/>
        <rFont val="仿宋_GB2312"/>
        <charset val="134"/>
      </rPr>
      <t>那蒙镇屯里村委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年那丁村农田水利灌溉项目</t>
    </r>
  </si>
  <si>
    <r>
      <rPr>
        <sz val="14"/>
        <rFont val="仿宋_GB2312"/>
        <charset val="134"/>
      </rPr>
      <t>新棠镇屯楼村委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年屯良自然村排水渠项目</t>
    </r>
  </si>
  <si>
    <r>
      <rPr>
        <sz val="14"/>
        <rFont val="仿宋_GB2312"/>
        <charset val="134"/>
      </rPr>
      <t>青塘镇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山村委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年长胜村那梅垌农田灌溉水利项目</t>
    </r>
  </si>
  <si>
    <r>
      <rPr>
        <sz val="14"/>
        <rFont val="仿宋_GB2312"/>
        <charset val="134"/>
      </rPr>
      <t>贵台镇百美村委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年南美村、百六村小型农田水利设施项目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</si>
  <si>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年小型农田水利灌溉建设项目尾款</t>
    </r>
  </si>
  <si>
    <r>
      <rPr>
        <sz val="14"/>
        <rFont val="仿宋_GB2312"/>
        <charset val="134"/>
      </rPr>
      <t>小董镇那兰村污水处理项目</t>
    </r>
  </si>
  <si>
    <r>
      <rPr>
        <sz val="14"/>
        <rFont val="仿宋_GB2312"/>
        <charset val="134"/>
      </rPr>
      <t>乡村建设行动</t>
    </r>
  </si>
  <si>
    <r>
      <rPr>
        <sz val="14"/>
        <rFont val="仿宋_GB2312"/>
        <charset val="134"/>
      </rPr>
      <t>钦市财农〔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4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</si>
  <si>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小董镇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楼村委那扁村污水处理项目</t>
    </r>
  </si>
  <si>
    <r>
      <rPr>
        <sz val="14"/>
        <rFont val="仿宋_GB2312"/>
        <charset val="134"/>
      </rPr>
      <t>小董镇西陵村委六琴村污水处理项目</t>
    </r>
  </si>
  <si>
    <r>
      <rPr>
        <sz val="14"/>
        <rFont val="仿宋_GB2312"/>
        <charset val="134"/>
      </rPr>
      <t>平吉镇广平村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年广平圩排污管道建设项目</t>
    </r>
  </si>
  <si>
    <r>
      <rPr>
        <sz val="14"/>
        <rFont val="仿宋_GB2312"/>
        <charset val="134"/>
      </rPr>
      <t>板城镇竹山村委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年睦家村污水治理建设项目</t>
    </r>
  </si>
  <si>
    <r>
      <rPr>
        <sz val="14"/>
        <rFont val="仿宋_GB2312"/>
        <charset val="134"/>
      </rPr>
      <t>新棠镇屯王村委屯王村排污排水系统建设项目（二期）</t>
    </r>
  </si>
  <si>
    <r>
      <rPr>
        <sz val="14"/>
        <rFont val="仿宋_GB2312"/>
        <charset val="134"/>
      </rPr>
      <t>新棠镇屯林村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年排污排水系统建设项目</t>
    </r>
  </si>
  <si>
    <r>
      <rPr>
        <sz val="14"/>
        <rFont val="仿宋_GB2312"/>
        <charset val="134"/>
      </rPr>
      <t>青塘镇那路村委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年那路村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队排污系统</t>
    </r>
  </si>
  <si>
    <r>
      <rPr>
        <sz val="14"/>
        <rFont val="仿宋_GB2312"/>
        <charset val="134"/>
      </rPr>
      <t>长滩镇胜利村委大村北排污沟项目</t>
    </r>
  </si>
  <si>
    <r>
      <rPr>
        <sz val="14"/>
        <rFont val="仿宋_GB2312"/>
        <charset val="134"/>
      </rPr>
      <t>长滩镇屯巷村委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年屯巷村</t>
    </r>
    <r>
      <rPr>
        <sz val="14"/>
        <rFont val="Times New Roman"/>
        <charset val="134"/>
      </rPr>
      <t>7</t>
    </r>
    <r>
      <rPr>
        <sz val="14"/>
        <rFont val="仿宋_GB2312"/>
        <charset val="134"/>
      </rPr>
      <t>至</t>
    </r>
    <r>
      <rPr>
        <sz val="14"/>
        <rFont val="Times New Roman"/>
        <charset val="134"/>
      </rPr>
      <t>8</t>
    </r>
    <r>
      <rPr>
        <sz val="14"/>
        <rFont val="仿宋_GB2312"/>
        <charset val="134"/>
      </rPr>
      <t>队排污沟项目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</si>
  <si>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年产业以奖代补项目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</si>
  <si>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年小额信贷贴息项目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</si>
  <si>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年春、秋雨露计划补贴项目</t>
    </r>
  </si>
  <si>
    <r>
      <rPr>
        <sz val="14"/>
        <rFont val="仿宋_GB2312"/>
        <charset val="134"/>
      </rPr>
      <t>巩固三保障成果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</si>
  <si>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年公益性岗位项目</t>
    </r>
  </si>
  <si>
    <r>
      <rPr>
        <sz val="14"/>
        <rFont val="仿宋_GB2312"/>
        <charset val="134"/>
      </rPr>
      <t>就业项目</t>
    </r>
  </si>
  <si>
    <r>
      <rPr>
        <sz val="14"/>
        <rFont val="仿宋_GB2312"/>
        <charset val="134"/>
      </rPr>
      <t>钦市财农〔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36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</si>
  <si>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年跨省务工就业一次性往返交通补助项目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</si>
  <si>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年县域内务工补助项目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</si>
  <si>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年抗旱项目</t>
    </r>
  </si>
  <si>
    <r>
      <rPr>
        <sz val="14"/>
        <rFont val="仿宋_GB2312"/>
        <charset val="134"/>
      </rPr>
      <t>大直镇米拱村委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年米拱村二队路口至那麻村道路硬化项目</t>
    </r>
  </si>
  <si>
    <r>
      <rPr>
        <sz val="14"/>
        <rFont val="仿宋_GB2312"/>
        <charset val="134"/>
      </rPr>
      <t>钦北区紫胶林场林猪生态循环养殖场建设项目</t>
    </r>
  </si>
  <si>
    <r>
      <rPr>
        <sz val="14"/>
        <rFont val="仿宋_GB2312"/>
        <charset val="134"/>
      </rPr>
      <t>小董镇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年吉水村委那棉村九曲江桥建设项目</t>
    </r>
  </si>
  <si>
    <r>
      <rPr>
        <sz val="14"/>
        <rFont val="仿宋_GB2312"/>
        <charset val="134"/>
      </rPr>
      <t>小董镇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头村委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年宝鸭坪村</t>
    </r>
    <r>
      <rPr>
        <sz val="14"/>
        <rFont val="Times New Roman"/>
        <charset val="134"/>
      </rPr>
      <t>12</t>
    </r>
    <r>
      <rPr>
        <sz val="14"/>
        <rFont val="仿宋_GB2312"/>
        <charset val="134"/>
      </rPr>
      <t>队、鸡笠山</t>
    </r>
    <r>
      <rPr>
        <sz val="14"/>
        <rFont val="Times New Roman"/>
        <charset val="134"/>
      </rPr>
      <t>13</t>
    </r>
    <r>
      <rPr>
        <sz val="14"/>
        <rFont val="仿宋_GB2312"/>
        <charset val="134"/>
      </rPr>
      <t>队道路硬化项目</t>
    </r>
  </si>
  <si>
    <r>
      <rPr>
        <sz val="14"/>
        <rFont val="仿宋_GB2312"/>
        <charset val="134"/>
      </rPr>
      <t>新棠镇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年荔枝产业综合示范园配套基础设施项目（产业路）</t>
    </r>
  </si>
  <si>
    <r>
      <rPr>
        <sz val="14"/>
        <rFont val="仿宋_GB2312"/>
        <charset val="134"/>
      </rPr>
      <t>长滩镇连丰村委屯苏村七队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年老劳江桥重建项目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</si>
  <si>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年农村道路、小型桥梁建设项目尾款</t>
    </r>
  </si>
  <si>
    <r>
      <rPr>
        <sz val="14"/>
        <rFont val="仿宋_GB2312"/>
        <charset val="134"/>
      </rPr>
      <t>贵台镇屯良村委六仓村道路硬化项目</t>
    </r>
  </si>
  <si>
    <r>
      <rPr>
        <sz val="14"/>
        <rFont val="仿宋_GB2312"/>
        <charset val="134"/>
      </rPr>
      <t>平吉镇永隆村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年高龙塘自然村道路硬化项目</t>
    </r>
  </si>
  <si>
    <r>
      <rPr>
        <sz val="14"/>
        <rFont val="仿宋_GB2312"/>
        <charset val="134"/>
      </rPr>
      <t>小董镇那道村委供水保障工程</t>
    </r>
  </si>
  <si>
    <r>
      <rPr>
        <sz val="14"/>
        <rFont val="仿宋_GB2312"/>
        <charset val="134"/>
      </rPr>
      <t>平吉镇牛江村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年供水保障工程</t>
    </r>
  </si>
  <si>
    <r>
      <rPr>
        <sz val="14"/>
        <rFont val="仿宋_GB2312"/>
        <charset val="134"/>
      </rPr>
      <t>平吉镇古隆村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年自来水管道建设项目</t>
    </r>
  </si>
  <si>
    <r>
      <rPr>
        <sz val="14"/>
        <rFont val="仿宋_GB2312"/>
        <charset val="134"/>
      </rPr>
      <t>大直镇派亩村委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年那里村人饮工程项目</t>
    </r>
  </si>
  <si>
    <r>
      <rPr>
        <sz val="14"/>
        <rFont val="仿宋_GB2312"/>
        <charset val="134"/>
      </rPr>
      <t>大直镇那光村委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年屯蒙村人饮工程项目</t>
    </r>
  </si>
  <si>
    <r>
      <rPr>
        <sz val="14"/>
        <rFont val="仿宋_GB2312"/>
        <charset val="134"/>
      </rPr>
      <t>板城镇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年板城水厂供水保障工程</t>
    </r>
  </si>
  <si>
    <r>
      <rPr>
        <sz val="14"/>
        <rFont val="仿宋_GB2312"/>
        <charset val="134"/>
      </rPr>
      <t>那蒙镇那桂村委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年人饮工程项目</t>
    </r>
  </si>
  <si>
    <r>
      <rPr>
        <sz val="14"/>
        <rFont val="仿宋_GB2312"/>
        <charset val="134"/>
      </rPr>
      <t>贵台镇那桃村委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年那桃村人饮工程</t>
    </r>
  </si>
  <si>
    <r>
      <rPr>
        <sz val="14"/>
        <rFont val="仿宋_GB2312"/>
        <charset val="134"/>
      </rPr>
      <t>新棠镇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年饮水安全保障巩固提升项目</t>
    </r>
  </si>
  <si>
    <r>
      <rPr>
        <sz val="14"/>
        <rFont val="仿宋_GB2312"/>
        <charset val="134"/>
      </rPr>
      <t>板城镇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年那芳水厂供水保障工程尾款</t>
    </r>
  </si>
  <si>
    <r>
      <rPr>
        <sz val="14"/>
        <rFont val="仿宋_GB2312"/>
        <charset val="134"/>
      </rPr>
      <t>小董镇中花村委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年乡村规划项目</t>
    </r>
  </si>
  <si>
    <r>
      <rPr>
        <sz val="14"/>
        <rFont val="仿宋_GB2312"/>
        <charset val="134"/>
      </rPr>
      <t>小董镇那学村委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年乡村规划项目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</si>
  <si>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年朱林村编制村庄规划项目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</si>
  <si>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年彭良村编制村庄规划项目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</si>
  <si>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兰村编制村庄规划项目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</si>
  <si>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年平沙村编制村庄规划项目</t>
    </r>
  </si>
  <si>
    <r>
      <rPr>
        <sz val="14"/>
        <rFont val="仿宋_GB2312"/>
        <charset val="134"/>
      </rPr>
      <t>大直镇大直村委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年村庄规划编制项目</t>
    </r>
  </si>
  <si>
    <r>
      <rPr>
        <sz val="14"/>
        <rFont val="仿宋_GB2312"/>
        <charset val="134"/>
      </rPr>
      <t>青塘镇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甫村村庄规划项目</t>
    </r>
  </si>
  <si>
    <r>
      <rPr>
        <sz val="14"/>
        <rFont val="仿宋_GB2312"/>
        <charset val="134"/>
      </rPr>
      <t>青塘镇</t>
    </r>
    <r>
      <rPr>
        <sz val="14"/>
        <rFont val="Times New Roman"/>
        <charset val="134"/>
      </rPr>
      <t>2023</t>
    </r>
    <r>
      <rPr>
        <sz val="14"/>
        <rFont val="仿宋_GB2312"/>
        <charset val="134"/>
      </rPr>
      <t>年青塘村村庄规划项目</t>
    </r>
  </si>
  <si>
    <r>
      <rPr>
        <sz val="14"/>
        <rFont val="仿宋_GB2312"/>
        <charset val="134"/>
      </rPr>
      <t>贵台镇百美村委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年村庄规划编制项目</t>
    </r>
  </si>
  <si>
    <r>
      <rPr>
        <sz val="14"/>
        <rFont val="仿宋_GB2312"/>
        <charset val="134"/>
      </rPr>
      <t>贵台镇大路村委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年村庄规划编制项目</t>
    </r>
  </si>
  <si>
    <r>
      <rPr>
        <sz val="14"/>
        <rFont val="仿宋_GB2312"/>
        <charset val="134"/>
      </rPr>
      <t>贵台镇屯良村委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年村庄规划</t>
    </r>
  </si>
  <si>
    <r>
      <rPr>
        <sz val="14"/>
        <rFont val="仿宋_GB2312"/>
        <charset val="134"/>
      </rPr>
      <t>新棠镇屯林村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年村庄规划编制项目</t>
    </r>
  </si>
  <si>
    <r>
      <rPr>
        <sz val="14"/>
        <rFont val="仿宋_GB2312"/>
        <charset val="134"/>
      </rPr>
      <t>大寺镇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年大米加工全产业链项目（续建）</t>
    </r>
  </si>
  <si>
    <r>
      <rPr>
        <sz val="14"/>
        <rFont val="仿宋_GB2312"/>
        <charset val="134"/>
      </rPr>
      <t>大寺镇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年韭菜苔产业基地项目</t>
    </r>
  </si>
  <si>
    <r>
      <rPr>
        <sz val="14"/>
        <rFont val="仿宋_GB2312"/>
        <charset val="134"/>
      </rPr>
      <t>大寺镇望海岭非遗美食生产基地项目</t>
    </r>
  </si>
  <si>
    <r>
      <rPr>
        <sz val="14"/>
        <rFont val="仿宋_GB2312"/>
        <charset val="134"/>
      </rPr>
      <t>大寺镇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年电商玉米产业项目</t>
    </r>
  </si>
  <si>
    <r>
      <rPr>
        <sz val="14"/>
        <rFont val="仿宋_GB2312"/>
        <charset val="134"/>
      </rPr>
      <t>大寺镇屯强村委马岗村排污设施项目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二期）</t>
    </r>
  </si>
  <si>
    <r>
      <rPr>
        <sz val="14"/>
        <rFont val="仿宋_GB2312"/>
        <charset val="134"/>
      </rPr>
      <t>大寺镇广琅村委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年农村垃圾收集项目</t>
    </r>
  </si>
  <si>
    <r>
      <rPr>
        <sz val="14"/>
        <rFont val="仿宋_GB2312"/>
        <charset val="134"/>
      </rPr>
      <t>大寺镇屯妙村委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年农村垃圾收集项目</t>
    </r>
  </si>
  <si>
    <r>
      <rPr>
        <sz val="14"/>
        <rFont val="仿宋_GB2312"/>
        <charset val="134"/>
      </rPr>
      <t>大寺镇屯首村委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年农村垃圾收集项目</t>
    </r>
  </si>
  <si>
    <r>
      <rPr>
        <sz val="14"/>
        <rFont val="仿宋_GB2312"/>
        <charset val="134"/>
      </rPr>
      <t>大寺镇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</si>
  <si>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4"/>
        <rFont val="仿宋_GB2312"/>
        <charset val="134"/>
      </rPr>
      <t>其他</t>
    </r>
  </si>
  <si>
    <r>
      <rPr>
        <sz val="14"/>
        <rFont val="仿宋_GB2312"/>
        <charset val="134"/>
      </rPr>
      <t>大寺镇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年抗旱应急水源工程建设项目</t>
    </r>
  </si>
  <si>
    <r>
      <rPr>
        <sz val="14"/>
        <rFont val="仿宋_GB2312"/>
        <charset val="134"/>
      </rPr>
      <t>大寺镇四联村委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年平天村三面光水渠建设项目</t>
    </r>
  </si>
  <si>
    <r>
      <rPr>
        <sz val="14"/>
        <rFont val="仿宋_GB2312"/>
        <charset val="134"/>
      </rPr>
      <t>大寺镇屯首村委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</t>
    </r>
    <r>
      <rPr>
        <sz val="14"/>
        <rFont val="宋体"/>
        <charset val="134"/>
      </rPr>
      <t>坉</t>
    </r>
    <r>
      <rPr>
        <sz val="14"/>
        <rFont val="仿宋_GB2312"/>
        <charset val="134"/>
      </rPr>
      <t>客村小型农田水利设施建设项目</t>
    </r>
  </si>
  <si>
    <r>
      <rPr>
        <sz val="14"/>
        <rFont val="仿宋_GB2312"/>
        <charset val="134"/>
      </rPr>
      <t>大寺镇屯强村委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年那谢村人饮项目</t>
    </r>
  </si>
  <si>
    <r>
      <rPr>
        <sz val="14"/>
        <rFont val="仿宋_GB2312"/>
        <charset val="134"/>
      </rPr>
      <t>大寺镇五宁村委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年里尔村人饮项目</t>
    </r>
  </si>
  <si>
    <r>
      <rPr>
        <sz val="14"/>
        <rFont val="仿宋_GB2312"/>
        <charset val="134"/>
      </rPr>
      <t>大寺镇屯首村委那侣村</t>
    </r>
    <r>
      <rPr>
        <sz val="14"/>
        <rFont val="Times New Roman"/>
        <charset val="134"/>
      </rPr>
      <t>2023</t>
    </r>
    <r>
      <rPr>
        <sz val="14"/>
        <rFont val="仿宋_GB2312"/>
        <charset val="134"/>
      </rPr>
      <t>年村屯道路硬化项目</t>
    </r>
  </si>
  <si>
    <r>
      <rPr>
        <sz val="14"/>
        <rFont val="仿宋_GB2312"/>
        <charset val="134"/>
      </rPr>
      <t>钦北区小董农产品加工物流园项目</t>
    </r>
    <r>
      <rPr>
        <sz val="14"/>
        <rFont val="Times New Roman"/>
        <charset val="134"/>
      </rPr>
      <t xml:space="preserve"> (</t>
    </r>
    <r>
      <rPr>
        <sz val="14"/>
        <rFont val="仿宋_GB2312"/>
        <charset val="134"/>
      </rPr>
      <t>二期</t>
    </r>
    <r>
      <rPr>
        <sz val="14"/>
        <rFont val="Times New Roman"/>
        <charset val="134"/>
      </rPr>
      <t>)—3#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4#</t>
    </r>
    <r>
      <rPr>
        <sz val="14"/>
        <rFont val="仿宋_GB2312"/>
        <charset val="134"/>
      </rPr>
      <t>标准厂房及配套工程</t>
    </r>
  </si>
  <si>
    <r>
      <rPr>
        <sz val="14"/>
        <rFont val="仿宋_GB2312"/>
        <charset val="134"/>
      </rPr>
      <t>小董镇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年西陵村委卜糟村搭建盖板桥建设项目</t>
    </r>
  </si>
  <si>
    <r>
      <rPr>
        <sz val="14"/>
        <rFont val="仿宋_GB2312"/>
        <charset val="134"/>
      </rPr>
      <t>小董镇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头村委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年那汉村那庙口堰坝建设项目</t>
    </r>
  </si>
  <si>
    <r>
      <rPr>
        <sz val="14"/>
        <rFont val="仿宋_GB2312"/>
        <charset val="134"/>
      </rPr>
      <t>小董镇板董村委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年屋面至板闸渠道建设项目</t>
    </r>
  </si>
  <si>
    <r>
      <rPr>
        <sz val="14"/>
        <rFont val="仿宋_GB2312"/>
        <charset val="134"/>
      </rPr>
      <t>小董镇多隆村委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年农田灌溉泵房项目</t>
    </r>
  </si>
  <si>
    <r>
      <rPr>
        <sz val="14"/>
        <rFont val="仿宋_GB2312"/>
        <charset val="134"/>
      </rPr>
      <t>小董镇那料村委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年西城渠道建设项目</t>
    </r>
  </si>
  <si>
    <r>
      <rPr>
        <sz val="14"/>
        <rFont val="仿宋_GB2312"/>
        <charset val="134"/>
      </rPr>
      <t>小董镇中花村委石古岭村桥梁建设项目</t>
    </r>
  </si>
  <si>
    <r>
      <rPr>
        <sz val="14"/>
        <rFont val="仿宋_GB2312"/>
        <charset val="134"/>
      </rPr>
      <t>大垌镇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年坭兴陶制作基地项目</t>
    </r>
  </si>
  <si>
    <r>
      <rPr>
        <sz val="14"/>
        <rFont val="仿宋_GB2312"/>
        <charset val="134"/>
      </rPr>
      <t>大垌镇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</si>
  <si>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4"/>
        <rFont val="仿宋_GB2312"/>
        <charset val="134"/>
      </rPr>
      <t>大垌镇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年抗旱应急水源工程建设项目</t>
    </r>
  </si>
  <si>
    <r>
      <rPr>
        <sz val="14"/>
        <rFont val="仿宋_GB2312"/>
        <charset val="134"/>
      </rPr>
      <t>钦北财农〔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4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</si>
  <si>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平吉镇优品汇农贸交易中心</t>
    </r>
  </si>
  <si>
    <r>
      <rPr>
        <sz val="14"/>
        <rFont val="仿宋_GB2312"/>
        <charset val="134"/>
      </rPr>
      <t>广西钦州市钦北区农村产业融合发展示范园项目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</si>
  <si>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年坭兴陶制作培训基地（续建）</t>
    </r>
  </si>
  <si>
    <r>
      <rPr>
        <sz val="14"/>
        <rFont val="仿宋_GB2312"/>
        <charset val="134"/>
      </rPr>
      <t>平吉镇</t>
    </r>
    <r>
      <rPr>
        <sz val="14"/>
        <rFont val="宋体"/>
        <charset val="134"/>
      </rPr>
      <t>湴</t>
    </r>
    <r>
      <rPr>
        <sz val="14"/>
        <rFont val="仿宋_GB2312"/>
        <charset val="134"/>
      </rPr>
      <t>塘村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年九佰垌农田水利灌溉项目</t>
    </r>
  </si>
  <si>
    <r>
      <rPr>
        <sz val="14"/>
        <rFont val="仿宋_GB2312"/>
        <charset val="134"/>
      </rPr>
      <t>平吉镇彭良村金板坪土地岭至屋面坪小型农田水利项目</t>
    </r>
  </si>
  <si>
    <r>
      <rPr>
        <sz val="14"/>
        <rFont val="仿宋_GB2312"/>
        <charset val="134"/>
      </rPr>
      <t>平吉镇白鹤垌村公狗岭至分水水利沟建设项目</t>
    </r>
  </si>
  <si>
    <r>
      <rPr>
        <sz val="14"/>
        <rFont val="仿宋_GB2312"/>
        <charset val="134"/>
      </rPr>
      <t>平吉镇古秀村公路边至秀管坝白九礅新建水利项目</t>
    </r>
  </si>
  <si>
    <r>
      <rPr>
        <sz val="14"/>
        <rFont val="仿宋_GB2312"/>
        <charset val="134"/>
      </rPr>
      <t>板城镇高龙村委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年好青翠农民合作社加工车间提升项目</t>
    </r>
  </si>
  <si>
    <r>
      <rPr>
        <sz val="14"/>
        <rFont val="仿宋_GB2312"/>
        <charset val="134"/>
      </rPr>
      <t>板城镇新城村委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年山尾村漫水路建设项目</t>
    </r>
  </si>
  <si>
    <r>
      <rPr>
        <sz val="14"/>
        <rFont val="仿宋_GB2312"/>
        <charset val="134"/>
      </rPr>
      <t>板城镇新城村委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年旱塘村漫水路建设项目</t>
    </r>
  </si>
  <si>
    <r>
      <rPr>
        <sz val="14"/>
        <rFont val="仿宋_GB2312"/>
        <charset val="134"/>
      </rPr>
      <t>板城镇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</si>
  <si>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4"/>
        <rFont val="仿宋_GB2312"/>
        <charset val="134"/>
      </rPr>
      <t>板城镇六虾村委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年暖水麓至猪大肠水利农田灌溉项目</t>
    </r>
  </si>
  <si>
    <r>
      <rPr>
        <sz val="14"/>
        <rFont val="仿宋_GB2312"/>
        <charset val="134"/>
      </rPr>
      <t>板城镇宁家村委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年一、二队农田灌溉项目</t>
    </r>
  </si>
  <si>
    <r>
      <rPr>
        <sz val="14"/>
        <rFont val="仿宋_GB2312"/>
        <charset val="134"/>
      </rPr>
      <t>那蒙镇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</si>
  <si>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4"/>
        <rFont val="仿宋_GB2312"/>
        <charset val="134"/>
      </rPr>
      <t>那蒙镇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年抗旱应急水源工程建设项目</t>
    </r>
  </si>
  <si>
    <r>
      <rPr>
        <sz val="14"/>
        <rFont val="仿宋_GB2312"/>
        <charset val="134"/>
      </rPr>
      <t>那蒙镇</t>
    </r>
    <r>
      <rPr>
        <sz val="14"/>
        <rFont val="Times New Roman"/>
        <charset val="134"/>
      </rPr>
      <t>2023</t>
    </r>
    <r>
      <rPr>
        <sz val="14"/>
        <rFont val="仿宋_GB2312"/>
        <charset val="134"/>
      </rPr>
      <t>年</t>
    </r>
    <r>
      <rPr>
        <sz val="14"/>
        <rFont val="宋体"/>
        <charset val="134"/>
      </rPr>
      <t>湴</t>
    </r>
    <r>
      <rPr>
        <sz val="14"/>
        <rFont val="仿宋_GB2312"/>
        <charset val="134"/>
      </rPr>
      <t>山村委内那塘村农田灌溉水利修缮项目</t>
    </r>
  </si>
  <si>
    <r>
      <rPr>
        <sz val="14"/>
        <rFont val="仿宋_GB2312"/>
        <charset val="134"/>
      </rPr>
      <t>那蒙镇白石湾（西岸）灌溉抽水站（陂角村、竹山村共用）修建项目</t>
    </r>
  </si>
  <si>
    <r>
      <rPr>
        <sz val="14"/>
        <rFont val="仿宋_GB2312"/>
        <charset val="134"/>
      </rPr>
      <t>那蒙镇四维村委果桐村</t>
    </r>
    <r>
      <rPr>
        <sz val="14"/>
        <rFont val="Times New Roman"/>
        <charset val="134"/>
      </rPr>
      <t>2023</t>
    </r>
    <r>
      <rPr>
        <sz val="14"/>
        <rFont val="仿宋_GB2312"/>
        <charset val="134"/>
      </rPr>
      <t>年三刀水渠灌溉</t>
    </r>
  </si>
  <si>
    <r>
      <rPr>
        <sz val="14"/>
        <rFont val="仿宋_GB2312"/>
        <charset val="134"/>
      </rPr>
      <t>长滩镇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</si>
  <si>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4"/>
        <rFont val="仿宋_GB2312"/>
        <charset val="134"/>
      </rPr>
      <t>长滩镇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年抗旱应急水源工程建设项目</t>
    </r>
  </si>
  <si>
    <r>
      <rPr>
        <sz val="14"/>
        <rFont val="仿宋_GB2312"/>
        <charset val="134"/>
      </rPr>
      <t>长滩镇连丰村委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</t>
    </r>
    <r>
      <rPr>
        <sz val="14"/>
        <rFont val="Times New Roman"/>
        <charset val="134"/>
      </rPr>
      <t>8</t>
    </r>
    <r>
      <rPr>
        <sz val="14"/>
        <rFont val="仿宋_GB2312"/>
        <charset val="134"/>
      </rPr>
      <t>队农田水利灌溉项目</t>
    </r>
  </si>
  <si>
    <r>
      <rPr>
        <sz val="14"/>
        <rFont val="仿宋_GB2312"/>
        <charset val="134"/>
      </rPr>
      <t>长滩镇屯巷村委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年屯巷村</t>
    </r>
    <r>
      <rPr>
        <sz val="14"/>
        <rFont val="Times New Roman"/>
        <charset val="134"/>
      </rPr>
      <t>6</t>
    </r>
    <r>
      <rPr>
        <sz val="14"/>
        <rFont val="仿宋_GB2312"/>
        <charset val="134"/>
      </rPr>
      <t>队农田水利设施灌溉项目</t>
    </r>
  </si>
  <si>
    <r>
      <rPr>
        <sz val="14"/>
        <rFont val="仿宋_GB2312"/>
        <charset val="134"/>
      </rPr>
      <t>新棠镇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年荔枝综合产业示范园项目</t>
    </r>
  </si>
  <si>
    <r>
      <rPr>
        <sz val="14"/>
        <rFont val="仿宋_GB2312"/>
        <charset val="134"/>
      </rPr>
      <t>新棠镇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年项目管护费项目</t>
    </r>
  </si>
  <si>
    <r>
      <rPr>
        <sz val="14"/>
        <rFont val="仿宋_GB2312"/>
        <charset val="134"/>
      </rPr>
      <t>新棠镇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年抗旱应急水源工程建设项目</t>
    </r>
  </si>
  <si>
    <r>
      <rPr>
        <sz val="14"/>
        <rFont val="仿宋_GB2312"/>
        <charset val="134"/>
      </rPr>
      <t>新棠镇屯林村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年农田水利灌溉沟修建项目</t>
    </r>
  </si>
  <si>
    <r>
      <rPr>
        <sz val="14"/>
        <rFont val="仿宋_GB2312"/>
        <charset val="134"/>
      </rPr>
      <t>贵台镇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</si>
  <si>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4"/>
        <rFont val="仿宋_GB2312"/>
        <charset val="134"/>
      </rPr>
      <t>贵台镇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年抗旱应急水源工程</t>
    </r>
  </si>
  <si>
    <r>
      <rPr>
        <sz val="14"/>
        <rFont val="仿宋_GB2312"/>
        <charset val="134"/>
      </rPr>
      <t>贵台镇那桃村委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年那桃村小型农田水利设施项目</t>
    </r>
  </si>
  <si>
    <r>
      <rPr>
        <sz val="14"/>
        <rFont val="仿宋_GB2312"/>
        <charset val="134"/>
      </rPr>
      <t>贵台镇那桃村委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年屯良村小型农田灌溉项目</t>
    </r>
  </si>
  <si>
    <r>
      <rPr>
        <sz val="14"/>
        <rFont val="仿宋_GB2312"/>
        <charset val="134"/>
      </rPr>
      <t>钦北区易地搬迁安置点基础设施维修项目</t>
    </r>
  </si>
  <si>
    <r>
      <rPr>
        <sz val="14"/>
        <rFont val="仿宋_GB2312"/>
        <charset val="134"/>
      </rPr>
      <t>易地搬迁后扶</t>
    </r>
  </si>
  <si>
    <r>
      <rPr>
        <sz val="14"/>
        <rFont val="仿宋_GB2312"/>
        <charset val="134"/>
      </rPr>
      <t>大直镇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</si>
  <si>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4"/>
        <rFont val="仿宋_GB2312"/>
        <charset val="134"/>
      </rPr>
      <t>大直镇屯笔村委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年屯顶村农田水利项目</t>
    </r>
  </si>
  <si>
    <r>
      <rPr>
        <sz val="14"/>
        <rFont val="仿宋_GB2312"/>
        <charset val="134"/>
      </rPr>
      <t>钦北区大直镇大直村委滩架村</t>
    </r>
    <r>
      <rPr>
        <sz val="14"/>
        <rFont val="Times New Roman"/>
        <charset val="134"/>
      </rPr>
      <t>2023</t>
    </r>
    <r>
      <rPr>
        <sz val="14"/>
        <rFont val="仿宋_GB2312"/>
        <charset val="134"/>
      </rPr>
      <t>年农田水利灌溉项目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</si>
  <si>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年项目管理费</t>
    </r>
  </si>
  <si>
    <r>
      <rPr>
        <sz val="14"/>
        <rFont val="仿宋_GB2312"/>
        <charset val="134"/>
      </rPr>
      <t>项目管理费</t>
    </r>
  </si>
  <si>
    <r>
      <rPr>
        <sz val="14"/>
        <rFont val="仿宋_GB2312"/>
        <charset val="134"/>
      </rPr>
      <t>青塘镇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年抗旱应急水源工程建设项目</t>
    </r>
  </si>
  <si>
    <r>
      <rPr>
        <sz val="14"/>
        <rFont val="仿宋_GB2312"/>
        <charset val="134"/>
      </rPr>
      <t>钦州市钦北区粮食应急分拨综合物流设施项目</t>
    </r>
    <r>
      <rPr>
        <sz val="14"/>
        <rFont val="Times New Roman"/>
        <charset val="134"/>
      </rPr>
      <t>-</t>
    </r>
    <r>
      <rPr>
        <sz val="14"/>
        <rFont val="仿宋_GB2312"/>
        <charset val="134"/>
      </rPr>
      <t>低温仓库</t>
    </r>
  </si>
  <si>
    <r>
      <rPr>
        <sz val="14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</si>
</sst>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方正小标宋简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8"/>
      <name val="黑体"/>
      <charset val="134"/>
    </font>
    <font>
      <sz val="22"/>
      <name val="方正小标宋_GBK"/>
      <charset val="134"/>
    </font>
    <font>
      <sz val="12"/>
      <name val="宋体"/>
      <charset val="134"/>
    </font>
    <font>
      <sz val="12"/>
      <name val="楷体_GB2312"/>
      <charset val="134"/>
    </font>
    <font>
      <sz val="12"/>
      <name val="仿宋_GB2312"/>
      <charset val="134"/>
    </font>
    <font>
      <sz val="14"/>
      <name val="黑体"/>
      <charset val="134"/>
    </font>
    <font>
      <sz val="16"/>
      <name val="楷体_GB2312"/>
      <charset val="134"/>
    </font>
    <font>
      <sz val="14"/>
      <name val="Times New Roman"/>
      <charset val="134"/>
    </font>
    <font>
      <sz val="14"/>
      <name val="Times New Roman"/>
      <charset val="0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仿宋_GB2312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76" fontId="14" fillId="0" borderId="1" xfId="0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justify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76" fontId="13" fillId="0" borderId="5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justify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justify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justify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right" vertical="center" wrapText="1"/>
    </xf>
    <xf numFmtId="177" fontId="12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217</xdr:row>
      <xdr:rowOff>10160</xdr:rowOff>
    </xdr:to>
    <xdr:pic>
      <xdr:nvPicPr>
        <xdr:cNvPr id="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167640</xdr:rowOff>
    </xdr:to>
    <xdr:pic>
      <xdr:nvPicPr>
        <xdr:cNvPr id="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150495</xdr:rowOff>
    </xdr:to>
    <xdr:pic>
      <xdr:nvPicPr>
        <xdr:cNvPr id="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217</xdr:row>
      <xdr:rowOff>102235</xdr:rowOff>
    </xdr:to>
    <xdr:pic>
      <xdr:nvPicPr>
        <xdr:cNvPr id="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187960</xdr:rowOff>
    </xdr:to>
    <xdr:pic>
      <xdr:nvPicPr>
        <xdr:cNvPr id="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290830</xdr:rowOff>
    </xdr:to>
    <xdr:pic>
      <xdr:nvPicPr>
        <xdr:cNvPr id="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137160</xdr:rowOff>
    </xdr:to>
    <xdr:pic>
      <xdr:nvPicPr>
        <xdr:cNvPr id="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217</xdr:row>
      <xdr:rowOff>81915</xdr:rowOff>
    </xdr:to>
    <xdr:pic>
      <xdr:nvPicPr>
        <xdr:cNvPr id="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217</xdr:row>
      <xdr:rowOff>13335</xdr:rowOff>
    </xdr:to>
    <xdr:pic>
      <xdr:nvPicPr>
        <xdr:cNvPr id="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181610</xdr:rowOff>
    </xdr:to>
    <xdr:pic>
      <xdr:nvPicPr>
        <xdr:cNvPr id="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154305</xdr:rowOff>
    </xdr:to>
    <xdr:pic>
      <xdr:nvPicPr>
        <xdr:cNvPr id="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217</xdr:row>
      <xdr:rowOff>10160</xdr:rowOff>
    </xdr:to>
    <xdr:pic>
      <xdr:nvPicPr>
        <xdr:cNvPr id="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167640</xdr:rowOff>
    </xdr:to>
    <xdr:pic>
      <xdr:nvPicPr>
        <xdr:cNvPr id="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150495</xdr:rowOff>
    </xdr:to>
    <xdr:pic>
      <xdr:nvPicPr>
        <xdr:cNvPr id="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217</xdr:row>
      <xdr:rowOff>102235</xdr:rowOff>
    </xdr:to>
    <xdr:pic>
      <xdr:nvPicPr>
        <xdr:cNvPr id="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187960</xdr:rowOff>
    </xdr:to>
    <xdr:pic>
      <xdr:nvPicPr>
        <xdr:cNvPr id="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290830</xdr:rowOff>
    </xdr:to>
    <xdr:pic>
      <xdr:nvPicPr>
        <xdr:cNvPr id="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137160</xdr:rowOff>
    </xdr:to>
    <xdr:pic>
      <xdr:nvPicPr>
        <xdr:cNvPr id="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217</xdr:row>
      <xdr:rowOff>81915</xdr:rowOff>
    </xdr:to>
    <xdr:pic>
      <xdr:nvPicPr>
        <xdr:cNvPr id="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217</xdr:row>
      <xdr:rowOff>13335</xdr:rowOff>
    </xdr:to>
    <xdr:pic>
      <xdr:nvPicPr>
        <xdr:cNvPr id="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181610</xdr:rowOff>
    </xdr:to>
    <xdr:pic>
      <xdr:nvPicPr>
        <xdr:cNvPr id="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154305</xdr:rowOff>
    </xdr:to>
    <xdr:pic>
      <xdr:nvPicPr>
        <xdr:cNvPr id="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154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K217"/>
  <sheetViews>
    <sheetView tabSelected="1" view="pageBreakPreview" zoomScaleNormal="100" workbookViewId="0">
      <selection activeCell="Q8" sqref="Q8"/>
    </sheetView>
  </sheetViews>
  <sheetFormatPr defaultColWidth="9.81666666666667" defaultRowHeight="13.5"/>
  <cols>
    <col min="1" max="1" width="6" style="2" customWidth="1"/>
    <col min="2" max="2" width="25.375" style="7" customWidth="1"/>
    <col min="3" max="3" width="12.0583333333333" style="8" customWidth="1"/>
    <col min="4" max="4" width="14.25" style="8" customWidth="1"/>
    <col min="5" max="9" width="9.625" style="2" customWidth="1"/>
    <col min="10" max="10" width="14.25" style="2" customWidth="1"/>
    <col min="11" max="11" width="11.5" style="2" customWidth="1"/>
    <col min="12" max="12" width="13.25" style="2" customWidth="1"/>
    <col min="13" max="13" width="9.625" style="2" customWidth="1"/>
    <col min="14" max="14" width="11.75" style="2" customWidth="1"/>
    <col min="15" max="15" width="9.625" style="2" customWidth="1"/>
    <col min="16" max="187" width="9.81666666666667" style="1" customWidth="1"/>
    <col min="188" max="194" width="9" style="1" customWidth="1"/>
    <col min="195" max="196" width="14.125" style="1" customWidth="1"/>
    <col min="197" max="206" width="9" style="1" customWidth="1"/>
    <col min="207" max="16384" width="9.81666666666667" style="1"/>
  </cols>
  <sheetData>
    <row r="1" s="1" customFormat="1" ht="25" customHeight="1" spans="1:15">
      <c r="A1" s="9" t="s">
        <v>0</v>
      </c>
      <c r="B1" s="10"/>
      <c r="C1" s="8"/>
      <c r="D1" s="8"/>
      <c r="E1" s="2"/>
      <c r="F1" s="2"/>
      <c r="G1" s="8"/>
      <c r="H1" s="8"/>
      <c r="I1" s="2"/>
      <c r="J1" s="8"/>
      <c r="K1" s="2"/>
      <c r="L1" s="2"/>
      <c r="M1" s="2"/>
      <c r="N1" s="2"/>
      <c r="O1" s="2"/>
    </row>
    <row r="2" s="2" customFormat="1" ht="30" customHeight="1" spans="1:15">
      <c r="A2" s="11" t="s">
        <v>1</v>
      </c>
      <c r="B2" s="12"/>
      <c r="C2" s="1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3" customFormat="1" ht="21.95" customHeight="1" spans="1:15">
      <c r="A3" s="14"/>
      <c r="B3" s="15"/>
      <c r="C3" s="16"/>
      <c r="D3" s="17"/>
      <c r="E3" s="18"/>
      <c r="F3" s="14"/>
      <c r="G3" s="17"/>
      <c r="H3" s="14"/>
      <c r="I3" s="18"/>
      <c r="K3" s="18"/>
      <c r="L3" s="18"/>
      <c r="M3" s="19"/>
      <c r="N3" s="20" t="s">
        <v>2</v>
      </c>
      <c r="O3" s="19"/>
    </row>
    <row r="4" s="4" customFormat="1" ht="23.1" customHeight="1" spans="1:15">
      <c r="A4" s="21" t="s">
        <v>3</v>
      </c>
      <c r="B4" s="21" t="s">
        <v>4</v>
      </c>
      <c r="C4" s="21" t="s">
        <v>5</v>
      </c>
      <c r="D4" s="22" t="s">
        <v>6</v>
      </c>
      <c r="E4" s="22"/>
      <c r="F4" s="22"/>
      <c r="G4" s="22"/>
      <c r="H4" s="22"/>
      <c r="I4" s="22"/>
      <c r="J4" s="22" t="s">
        <v>7</v>
      </c>
      <c r="K4" s="22"/>
      <c r="L4" s="22"/>
      <c r="M4" s="22"/>
      <c r="N4" s="22"/>
      <c r="O4" s="22"/>
    </row>
    <row r="5" s="4" customFormat="1" ht="21.95" customHeight="1" spans="1:15">
      <c r="A5" s="21"/>
      <c r="B5" s="21"/>
      <c r="C5" s="21"/>
      <c r="D5" s="21" t="s">
        <v>8</v>
      </c>
      <c r="E5" s="21" t="s">
        <v>9</v>
      </c>
      <c r="F5" s="21"/>
      <c r="G5" s="21"/>
      <c r="H5" s="21"/>
      <c r="I5" s="21"/>
      <c r="J5" s="21" t="s">
        <v>8</v>
      </c>
      <c r="K5" s="21" t="s">
        <v>9</v>
      </c>
      <c r="L5" s="21"/>
      <c r="M5" s="21"/>
      <c r="N5" s="21"/>
      <c r="O5" s="21"/>
    </row>
    <row r="6" s="5" customFormat="1" ht="21.95" customHeight="1" spans="1:15">
      <c r="A6" s="21"/>
      <c r="B6" s="21"/>
      <c r="C6" s="21"/>
      <c r="D6" s="21"/>
      <c r="E6" s="21" t="s">
        <v>10</v>
      </c>
      <c r="F6" s="21" t="s">
        <v>11</v>
      </c>
      <c r="G6" s="21" t="s">
        <v>12</v>
      </c>
      <c r="H6" s="21" t="s">
        <v>13</v>
      </c>
      <c r="I6" s="21" t="s">
        <v>14</v>
      </c>
      <c r="J6" s="21"/>
      <c r="K6" s="21" t="s">
        <v>10</v>
      </c>
      <c r="L6" s="21" t="s">
        <v>11</v>
      </c>
      <c r="M6" s="21" t="s">
        <v>12</v>
      </c>
      <c r="N6" s="21" t="s">
        <v>13</v>
      </c>
      <c r="O6" s="21" t="s">
        <v>14</v>
      </c>
    </row>
    <row r="7" s="2" customFormat="1" ht="37.5" spans="1:15">
      <c r="A7" s="23">
        <v>1</v>
      </c>
      <c r="B7" s="24" t="s">
        <v>15</v>
      </c>
      <c r="C7" s="25" t="s">
        <v>16</v>
      </c>
      <c r="D7" s="25" t="s">
        <v>17</v>
      </c>
      <c r="E7" s="26">
        <f t="shared" ref="E7:E70" si="0">F7+G7+H7+I7</f>
        <v>118.163843</v>
      </c>
      <c r="F7" s="26">
        <v>82.163843</v>
      </c>
      <c r="G7" s="27">
        <v>36</v>
      </c>
      <c r="H7" s="27"/>
      <c r="I7" s="26"/>
      <c r="J7" s="25" t="s">
        <v>17</v>
      </c>
      <c r="K7" s="26">
        <f t="shared" ref="K7:K70" si="1">L7+M7+N7+O7</f>
        <v>118.163843</v>
      </c>
      <c r="L7" s="26">
        <v>82.163843</v>
      </c>
      <c r="M7" s="26">
        <v>36</v>
      </c>
      <c r="N7" s="26"/>
      <c r="O7" s="26"/>
    </row>
    <row r="8" s="2" customFormat="1" ht="48" customHeight="1" spans="1:15">
      <c r="A8" s="23"/>
      <c r="B8" s="24"/>
      <c r="C8" s="25"/>
      <c r="D8" s="25" t="s">
        <v>18</v>
      </c>
      <c r="E8" s="26">
        <f t="shared" si="0"/>
        <v>37.766157</v>
      </c>
      <c r="F8" s="26"/>
      <c r="G8" s="27"/>
      <c r="H8" s="27"/>
      <c r="I8" s="26">
        <f>54.266157-16.5</f>
        <v>37.766157</v>
      </c>
      <c r="J8" s="25" t="s">
        <v>18</v>
      </c>
      <c r="K8" s="26">
        <f t="shared" si="1"/>
        <v>37.022226</v>
      </c>
      <c r="L8" s="26"/>
      <c r="M8" s="26"/>
      <c r="N8" s="26"/>
      <c r="O8" s="26">
        <v>37.022226</v>
      </c>
    </row>
    <row r="9" s="2" customFormat="1" ht="37.5" spans="1:15">
      <c r="A9" s="23">
        <v>2</v>
      </c>
      <c r="B9" s="24" t="s">
        <v>19</v>
      </c>
      <c r="C9" s="25" t="s">
        <v>16</v>
      </c>
      <c r="D9" s="25" t="s">
        <v>17</v>
      </c>
      <c r="E9" s="26">
        <f t="shared" si="0"/>
        <v>18.42</v>
      </c>
      <c r="F9" s="26">
        <v>9.21</v>
      </c>
      <c r="G9" s="27">
        <v>9.21</v>
      </c>
      <c r="H9" s="27"/>
      <c r="I9" s="28"/>
      <c r="J9" s="25" t="s">
        <v>17</v>
      </c>
      <c r="K9" s="26">
        <f t="shared" si="1"/>
        <v>18.42</v>
      </c>
      <c r="L9" s="26">
        <v>9.21</v>
      </c>
      <c r="M9" s="26">
        <v>9.21</v>
      </c>
      <c r="N9" s="26"/>
      <c r="O9" s="28"/>
    </row>
    <row r="10" s="2" customFormat="1" ht="37.5" spans="1:15">
      <c r="A10" s="23"/>
      <c r="B10" s="24"/>
      <c r="C10" s="25"/>
      <c r="D10" s="25" t="s">
        <v>18</v>
      </c>
      <c r="E10" s="26">
        <f t="shared" si="0"/>
        <v>13.82</v>
      </c>
      <c r="F10" s="26"/>
      <c r="G10" s="27"/>
      <c r="H10" s="27"/>
      <c r="I10" s="26">
        <f>17.22-3.4</f>
        <v>13.82</v>
      </c>
      <c r="J10" s="25" t="s">
        <v>18</v>
      </c>
      <c r="K10" s="26">
        <f t="shared" si="1"/>
        <v>13.671968</v>
      </c>
      <c r="L10" s="26"/>
      <c r="M10" s="26"/>
      <c r="N10" s="26"/>
      <c r="O10" s="26">
        <v>13.671968</v>
      </c>
    </row>
    <row r="11" s="2" customFormat="1" ht="37.5" spans="1:15">
      <c r="A11" s="23">
        <v>3</v>
      </c>
      <c r="B11" s="24" t="s">
        <v>20</v>
      </c>
      <c r="C11" s="25" t="s">
        <v>16</v>
      </c>
      <c r="D11" s="25" t="s">
        <v>17</v>
      </c>
      <c r="E11" s="26">
        <f t="shared" si="0"/>
        <v>61.595</v>
      </c>
      <c r="F11" s="26">
        <v>26.015</v>
      </c>
      <c r="G11" s="27">
        <v>35.58</v>
      </c>
      <c r="H11" s="27"/>
      <c r="I11" s="28"/>
      <c r="J11" s="25" t="s">
        <v>17</v>
      </c>
      <c r="K11" s="26">
        <f t="shared" si="1"/>
        <v>61.595</v>
      </c>
      <c r="L11" s="26">
        <v>26.015</v>
      </c>
      <c r="M11" s="26">
        <v>35.58</v>
      </c>
      <c r="N11" s="26"/>
      <c r="O11" s="28"/>
    </row>
    <row r="12" s="2" customFormat="1" ht="37.5" spans="1:15">
      <c r="A12" s="23"/>
      <c r="B12" s="24"/>
      <c r="C12" s="25"/>
      <c r="D12" s="25" t="s">
        <v>18</v>
      </c>
      <c r="E12" s="26">
        <f t="shared" si="0"/>
        <v>78.035</v>
      </c>
      <c r="F12" s="26"/>
      <c r="G12" s="27"/>
      <c r="H12" s="27"/>
      <c r="I12" s="26">
        <f>94.035-16</f>
        <v>78.035</v>
      </c>
      <c r="J12" s="25" t="s">
        <v>18</v>
      </c>
      <c r="K12" s="26">
        <f t="shared" si="1"/>
        <v>76.739199</v>
      </c>
      <c r="L12" s="26"/>
      <c r="M12" s="26"/>
      <c r="N12" s="26"/>
      <c r="O12" s="26">
        <v>76.739199</v>
      </c>
    </row>
    <row r="13" s="2" customFormat="1" ht="68" customHeight="1" spans="1:15">
      <c r="A13" s="23">
        <v>4</v>
      </c>
      <c r="B13" s="24" t="s">
        <v>21</v>
      </c>
      <c r="C13" s="25" t="s">
        <v>16</v>
      </c>
      <c r="D13" s="25" t="s">
        <v>17</v>
      </c>
      <c r="E13" s="26">
        <f t="shared" si="0"/>
        <v>32.44</v>
      </c>
      <c r="F13" s="26">
        <v>13</v>
      </c>
      <c r="G13" s="27">
        <v>19.44</v>
      </c>
      <c r="H13" s="27"/>
      <c r="I13" s="28"/>
      <c r="J13" s="25" t="s">
        <v>17</v>
      </c>
      <c r="K13" s="26">
        <f t="shared" si="1"/>
        <v>32.607309</v>
      </c>
      <c r="L13" s="26">
        <v>13</v>
      </c>
      <c r="M13" s="26">
        <v>19.607309</v>
      </c>
      <c r="N13" s="26"/>
      <c r="O13" s="28"/>
    </row>
    <row r="14" s="2" customFormat="1" ht="37.5" spans="1:15">
      <c r="A14" s="23">
        <v>5</v>
      </c>
      <c r="B14" s="24" t="s">
        <v>22</v>
      </c>
      <c r="C14" s="25" t="s">
        <v>16</v>
      </c>
      <c r="D14" s="25" t="s">
        <v>17</v>
      </c>
      <c r="E14" s="26">
        <f t="shared" si="0"/>
        <v>39.48</v>
      </c>
      <c r="F14" s="26">
        <v>19.74</v>
      </c>
      <c r="G14" s="27">
        <v>19.74</v>
      </c>
      <c r="H14" s="27"/>
      <c r="I14" s="28"/>
      <c r="J14" s="25" t="s">
        <v>17</v>
      </c>
      <c r="K14" s="26">
        <f t="shared" si="1"/>
        <v>39.48</v>
      </c>
      <c r="L14" s="26">
        <v>19.74</v>
      </c>
      <c r="M14" s="26">
        <v>19.74</v>
      </c>
      <c r="N14" s="26"/>
      <c r="O14" s="29"/>
    </row>
    <row r="15" s="2" customFormat="1" ht="37.5" spans="1:15">
      <c r="A15" s="23"/>
      <c r="B15" s="24"/>
      <c r="C15" s="25"/>
      <c r="D15" s="25" t="s">
        <v>23</v>
      </c>
      <c r="E15" s="26">
        <f t="shared" si="0"/>
        <v>65</v>
      </c>
      <c r="F15" s="26">
        <v>65</v>
      </c>
      <c r="G15" s="27"/>
      <c r="H15" s="27"/>
      <c r="I15" s="28"/>
      <c r="J15" s="25" t="s">
        <v>23</v>
      </c>
      <c r="K15" s="26">
        <f t="shared" si="1"/>
        <v>65</v>
      </c>
      <c r="L15" s="26">
        <v>65</v>
      </c>
      <c r="M15" s="26"/>
      <c r="N15" s="26"/>
      <c r="O15" s="26"/>
    </row>
    <row r="16" s="2" customFormat="1" ht="37.5" spans="1:15">
      <c r="A16" s="23"/>
      <c r="B16" s="24"/>
      <c r="C16" s="25"/>
      <c r="D16" s="25" t="s">
        <v>18</v>
      </c>
      <c r="E16" s="26">
        <f t="shared" si="0"/>
        <v>50.64</v>
      </c>
      <c r="F16" s="26"/>
      <c r="G16" s="27"/>
      <c r="H16" s="27"/>
      <c r="I16" s="26">
        <f>68.64-18</f>
        <v>50.64</v>
      </c>
      <c r="J16" s="25" t="s">
        <v>18</v>
      </c>
      <c r="K16" s="26">
        <f t="shared" si="1"/>
        <v>51.333717</v>
      </c>
      <c r="L16" s="26"/>
      <c r="M16" s="26"/>
      <c r="N16" s="26"/>
      <c r="O16" s="26">
        <f>51.937906-19.74-19.74+4.261487+13.145909+21.468415</f>
        <v>51.333717</v>
      </c>
    </row>
    <row r="17" s="2" customFormat="1" ht="37.5" spans="1:15">
      <c r="A17" s="23">
        <v>6</v>
      </c>
      <c r="B17" s="24" t="s">
        <v>24</v>
      </c>
      <c r="C17" s="25" t="s">
        <v>16</v>
      </c>
      <c r="D17" s="25" t="s">
        <v>17</v>
      </c>
      <c r="E17" s="26">
        <f t="shared" si="0"/>
        <v>31.14</v>
      </c>
      <c r="F17" s="26">
        <v>25.709114</v>
      </c>
      <c r="G17" s="27">
        <v>5.430886</v>
      </c>
      <c r="H17" s="27"/>
      <c r="I17" s="28"/>
      <c r="J17" s="25" t="s">
        <v>17</v>
      </c>
      <c r="K17" s="26">
        <f t="shared" si="1"/>
        <v>31.14</v>
      </c>
      <c r="L17" s="26">
        <f>15.57+10.139114</f>
        <v>25.709114</v>
      </c>
      <c r="M17" s="26">
        <f>21.000886-15.57</f>
        <v>5.430886</v>
      </c>
      <c r="N17" s="26"/>
      <c r="O17" s="26"/>
    </row>
    <row r="18" s="2" customFormat="1" ht="37.5" spans="1:15">
      <c r="A18" s="23"/>
      <c r="B18" s="24"/>
      <c r="C18" s="25"/>
      <c r="D18" s="25" t="s">
        <v>18</v>
      </c>
      <c r="E18" s="26">
        <f t="shared" si="0"/>
        <v>31.86</v>
      </c>
      <c r="F18" s="26"/>
      <c r="G18" s="27"/>
      <c r="H18" s="27"/>
      <c r="I18" s="26">
        <v>31.86</v>
      </c>
      <c r="J18" s="25" t="s">
        <v>18</v>
      </c>
      <c r="K18" s="26">
        <f t="shared" si="1"/>
        <v>31.862658</v>
      </c>
      <c r="L18" s="26"/>
      <c r="M18" s="26"/>
      <c r="N18" s="26"/>
      <c r="O18" s="26">
        <f>24.162333+7.700325</f>
        <v>31.862658</v>
      </c>
    </row>
    <row r="19" s="2" customFormat="1" ht="37.5" spans="1:15">
      <c r="A19" s="23">
        <v>7</v>
      </c>
      <c r="B19" s="24" t="s">
        <v>25</v>
      </c>
      <c r="C19" s="25" t="s">
        <v>16</v>
      </c>
      <c r="D19" s="25" t="s">
        <v>17</v>
      </c>
      <c r="E19" s="26">
        <f t="shared" si="0"/>
        <v>28.32</v>
      </c>
      <c r="F19" s="26">
        <v>14.16</v>
      </c>
      <c r="G19" s="27">
        <f>14.16-0</f>
        <v>14.16</v>
      </c>
      <c r="H19" s="27"/>
      <c r="I19" s="28"/>
      <c r="J19" s="25" t="s">
        <v>17</v>
      </c>
      <c r="K19" s="26">
        <f t="shared" si="1"/>
        <v>28.32</v>
      </c>
      <c r="L19" s="26">
        <f>13.113932+1.046068</f>
        <v>14.16</v>
      </c>
      <c r="M19" s="26">
        <v>14.16</v>
      </c>
      <c r="N19" s="26"/>
      <c r="O19" s="26"/>
    </row>
    <row r="20" s="2" customFormat="1" ht="37.5" spans="1:15">
      <c r="A20" s="23"/>
      <c r="B20" s="24"/>
      <c r="C20" s="25"/>
      <c r="D20" s="25" t="s">
        <v>18</v>
      </c>
      <c r="E20" s="26">
        <f t="shared" si="0"/>
        <v>10.39</v>
      </c>
      <c r="F20" s="26"/>
      <c r="G20" s="27"/>
      <c r="H20" s="27"/>
      <c r="I20" s="26">
        <f>15.39-5</f>
        <v>10.39</v>
      </c>
      <c r="J20" s="25" t="s">
        <v>18</v>
      </c>
      <c r="K20" s="26">
        <f t="shared" si="1"/>
        <v>10.584664</v>
      </c>
      <c r="L20" s="26"/>
      <c r="M20" s="26"/>
      <c r="N20" s="26"/>
      <c r="O20" s="26">
        <f>5.594843+4.989821</f>
        <v>10.584664</v>
      </c>
    </row>
    <row r="21" s="2" customFormat="1" ht="48" customHeight="1" spans="1:15">
      <c r="A21" s="23">
        <v>8</v>
      </c>
      <c r="B21" s="24" t="s">
        <v>26</v>
      </c>
      <c r="C21" s="25" t="s">
        <v>16</v>
      </c>
      <c r="D21" s="25" t="s">
        <v>17</v>
      </c>
      <c r="E21" s="26">
        <f t="shared" si="0"/>
        <v>43.106157</v>
      </c>
      <c r="F21" s="26">
        <v>30.506157</v>
      </c>
      <c r="G21" s="27">
        <v>12.6</v>
      </c>
      <c r="H21" s="27"/>
      <c r="I21" s="28"/>
      <c r="J21" s="25" t="s">
        <v>17</v>
      </c>
      <c r="K21" s="26">
        <f t="shared" si="1"/>
        <v>43.106157</v>
      </c>
      <c r="L21" s="26">
        <f>30.506157</f>
        <v>30.506157</v>
      </c>
      <c r="M21" s="26">
        <v>12.6</v>
      </c>
      <c r="N21" s="26"/>
      <c r="O21" s="26"/>
    </row>
    <row r="22" s="2" customFormat="1" ht="51" customHeight="1" spans="1:15">
      <c r="A22" s="23"/>
      <c r="B22" s="24"/>
      <c r="C22" s="25"/>
      <c r="D22" s="25" t="s">
        <v>18</v>
      </c>
      <c r="E22" s="26">
        <f t="shared" si="0"/>
        <v>47.573843</v>
      </c>
      <c r="F22" s="26"/>
      <c r="G22" s="27"/>
      <c r="H22" s="27"/>
      <c r="I22" s="26">
        <f>58.573843-11</f>
        <v>47.573843</v>
      </c>
      <c r="J22" s="25" t="s">
        <v>18</v>
      </c>
      <c r="K22" s="26">
        <f t="shared" si="1"/>
        <v>47.395442</v>
      </c>
      <c r="L22" s="26"/>
      <c r="M22" s="26"/>
      <c r="N22" s="26"/>
      <c r="O22" s="26">
        <f>30.245172+5.561777+11.588493</f>
        <v>47.395442</v>
      </c>
    </row>
    <row r="23" s="2" customFormat="1" ht="49" customHeight="1" spans="1:15">
      <c r="A23" s="23">
        <v>9</v>
      </c>
      <c r="B23" s="24" t="s">
        <v>27</v>
      </c>
      <c r="C23" s="25" t="s">
        <v>16</v>
      </c>
      <c r="D23" s="25" t="s">
        <v>17</v>
      </c>
      <c r="E23" s="26">
        <f t="shared" si="0"/>
        <v>32.64</v>
      </c>
      <c r="F23" s="26">
        <v>16.32</v>
      </c>
      <c r="G23" s="27">
        <v>16.32</v>
      </c>
      <c r="H23" s="27"/>
      <c r="I23" s="28"/>
      <c r="J23" s="25" t="s">
        <v>17</v>
      </c>
      <c r="K23" s="26">
        <f t="shared" si="1"/>
        <v>32.64</v>
      </c>
      <c r="L23" s="26">
        <v>16.32</v>
      </c>
      <c r="M23" s="26">
        <f>32.459255-16.32+0.180745</f>
        <v>16.32</v>
      </c>
      <c r="N23" s="26"/>
      <c r="O23" s="26"/>
    </row>
    <row r="24" s="2" customFormat="1" ht="42" customHeight="1" spans="1:15">
      <c r="A24" s="23"/>
      <c r="B24" s="24"/>
      <c r="C24" s="25"/>
      <c r="D24" s="25" t="s">
        <v>18</v>
      </c>
      <c r="E24" s="26">
        <f t="shared" si="0"/>
        <v>64.36</v>
      </c>
      <c r="F24" s="26"/>
      <c r="G24" s="27"/>
      <c r="H24" s="27"/>
      <c r="I24" s="26">
        <f>75.36-11</f>
        <v>64.36</v>
      </c>
      <c r="J24" s="25" t="s">
        <v>18</v>
      </c>
      <c r="K24" s="26">
        <f t="shared" si="1"/>
        <v>64.737764</v>
      </c>
      <c r="L24" s="26"/>
      <c r="M24" s="26"/>
      <c r="N24" s="26"/>
      <c r="O24" s="26">
        <f>51.506283+13.231481</f>
        <v>64.737764</v>
      </c>
    </row>
    <row r="25" s="2" customFormat="1" ht="53" customHeight="1" spans="1:15">
      <c r="A25" s="23">
        <v>10</v>
      </c>
      <c r="B25" s="24" t="s">
        <v>28</v>
      </c>
      <c r="C25" s="25" t="s">
        <v>16</v>
      </c>
      <c r="D25" s="25" t="s">
        <v>17</v>
      </c>
      <c r="E25" s="26">
        <f t="shared" si="0"/>
        <v>46.008728</v>
      </c>
      <c r="F25" s="26">
        <v>11.64</v>
      </c>
      <c r="G25" s="27">
        <v>34.368728</v>
      </c>
      <c r="H25" s="27"/>
      <c r="I25" s="28"/>
      <c r="J25" s="25" t="s">
        <v>17</v>
      </c>
      <c r="K25" s="26">
        <f t="shared" si="1"/>
        <v>46.008728</v>
      </c>
      <c r="L25" s="26">
        <v>11.64</v>
      </c>
      <c r="M25" s="26">
        <f>22.728728+11.64</f>
        <v>34.368728</v>
      </c>
      <c r="N25" s="26"/>
      <c r="O25" s="26"/>
    </row>
    <row r="26" s="2" customFormat="1" ht="44" customHeight="1" spans="1:15">
      <c r="A26" s="23"/>
      <c r="B26" s="24"/>
      <c r="C26" s="25"/>
      <c r="D26" s="25" t="s">
        <v>23</v>
      </c>
      <c r="E26" s="26">
        <f t="shared" si="0"/>
        <v>47</v>
      </c>
      <c r="F26" s="26">
        <v>47</v>
      </c>
      <c r="G26" s="27"/>
      <c r="H26" s="27"/>
      <c r="I26" s="28"/>
      <c r="J26" s="25" t="s">
        <v>23</v>
      </c>
      <c r="K26" s="26">
        <f t="shared" si="1"/>
        <v>47</v>
      </c>
      <c r="L26" s="26">
        <f>34.107996-11.64+20.423624+4.10838</f>
        <v>47</v>
      </c>
      <c r="M26" s="26"/>
      <c r="N26" s="26"/>
      <c r="O26" s="26"/>
    </row>
    <row r="27" s="2" customFormat="1" ht="47" customHeight="1" spans="1:15">
      <c r="A27" s="23"/>
      <c r="B27" s="24"/>
      <c r="C27" s="25"/>
      <c r="D27" s="25" t="s">
        <v>18</v>
      </c>
      <c r="E27" s="26">
        <f t="shared" si="0"/>
        <v>9.55</v>
      </c>
      <c r="F27" s="26"/>
      <c r="G27" s="27"/>
      <c r="H27" s="27"/>
      <c r="I27" s="26">
        <f>21.55-12</f>
        <v>9.55</v>
      </c>
      <c r="J27" s="25" t="s">
        <v>18</v>
      </c>
      <c r="K27" s="26">
        <f t="shared" si="1"/>
        <v>8.951831</v>
      </c>
      <c r="L27" s="26"/>
      <c r="M27" s="26"/>
      <c r="N27" s="26"/>
      <c r="O27" s="26">
        <f>8.951831</f>
        <v>8.951831</v>
      </c>
    </row>
    <row r="28" s="2" customFormat="1" ht="55" customHeight="1" spans="1:15">
      <c r="A28" s="23">
        <v>11</v>
      </c>
      <c r="B28" s="24" t="s">
        <v>29</v>
      </c>
      <c r="C28" s="25" t="s">
        <v>16</v>
      </c>
      <c r="D28" s="25" t="s">
        <v>17</v>
      </c>
      <c r="E28" s="26">
        <f t="shared" si="0"/>
        <v>72.12</v>
      </c>
      <c r="F28" s="26">
        <v>36.06</v>
      </c>
      <c r="G28" s="27">
        <v>36.06</v>
      </c>
      <c r="H28" s="27"/>
      <c r="I28" s="28"/>
      <c r="J28" s="25" t="s">
        <v>17</v>
      </c>
      <c r="K28" s="26">
        <f t="shared" si="1"/>
        <v>72.12</v>
      </c>
      <c r="L28" s="26">
        <v>36.06</v>
      </c>
      <c r="M28" s="26">
        <f>36.908549-36.06+33.967805+1.243646</f>
        <v>36.06</v>
      </c>
      <c r="N28" s="26"/>
      <c r="O28" s="26"/>
    </row>
    <row r="29" s="2" customFormat="1" ht="52" customHeight="1" spans="1:15">
      <c r="A29" s="23"/>
      <c r="B29" s="24"/>
      <c r="C29" s="25"/>
      <c r="D29" s="25" t="s">
        <v>18</v>
      </c>
      <c r="E29" s="26">
        <f t="shared" si="0"/>
        <v>35.08</v>
      </c>
      <c r="F29" s="26"/>
      <c r="G29" s="27"/>
      <c r="H29" s="27"/>
      <c r="I29" s="26">
        <f>48.08-13</f>
        <v>35.08</v>
      </c>
      <c r="J29" s="25" t="s">
        <v>18</v>
      </c>
      <c r="K29" s="26">
        <f t="shared" si="1"/>
        <v>38.604857</v>
      </c>
      <c r="L29" s="26"/>
      <c r="M29" s="26"/>
      <c r="N29" s="26"/>
      <c r="O29" s="26">
        <f>26.302095+12.302762</f>
        <v>38.604857</v>
      </c>
    </row>
    <row r="30" s="2" customFormat="1" ht="66" customHeight="1" spans="1:15">
      <c r="A30" s="23">
        <v>12</v>
      </c>
      <c r="B30" s="24" t="s">
        <v>30</v>
      </c>
      <c r="C30" s="25" t="s">
        <v>16</v>
      </c>
      <c r="D30" s="25" t="s">
        <v>18</v>
      </c>
      <c r="E30" s="26">
        <f t="shared" si="0"/>
        <v>15</v>
      </c>
      <c r="F30" s="26"/>
      <c r="G30" s="27"/>
      <c r="H30" s="27"/>
      <c r="I30" s="26">
        <v>15</v>
      </c>
      <c r="J30" s="25" t="s">
        <v>18</v>
      </c>
      <c r="K30" s="26">
        <f t="shared" si="1"/>
        <v>0</v>
      </c>
      <c r="L30" s="26"/>
      <c r="M30" s="26"/>
      <c r="N30" s="26"/>
      <c r="O30" s="26">
        <v>0</v>
      </c>
    </row>
    <row r="31" s="2" customFormat="1" ht="45" customHeight="1" spans="1:15">
      <c r="A31" s="23">
        <v>13</v>
      </c>
      <c r="B31" s="24" t="s">
        <v>31</v>
      </c>
      <c r="C31" s="25" t="s">
        <v>32</v>
      </c>
      <c r="D31" s="25" t="s">
        <v>17</v>
      </c>
      <c r="E31" s="26">
        <f t="shared" si="0"/>
        <v>94.815</v>
      </c>
      <c r="F31" s="26">
        <v>94.815</v>
      </c>
      <c r="G31" s="27"/>
      <c r="H31" s="27"/>
      <c r="I31" s="28"/>
      <c r="J31" s="25" t="s">
        <v>17</v>
      </c>
      <c r="K31" s="26">
        <f t="shared" si="1"/>
        <v>94.815</v>
      </c>
      <c r="L31" s="26">
        <v>94.815</v>
      </c>
      <c r="M31" s="26"/>
      <c r="N31" s="26"/>
      <c r="O31" s="26"/>
    </row>
    <row r="32" s="2" customFormat="1" ht="44" customHeight="1" spans="1:15">
      <c r="A32" s="23"/>
      <c r="B32" s="24"/>
      <c r="C32" s="25"/>
      <c r="D32" s="25" t="s">
        <v>33</v>
      </c>
      <c r="E32" s="26">
        <f t="shared" si="0"/>
        <v>67.852911</v>
      </c>
      <c r="F32" s="26"/>
      <c r="G32" s="27"/>
      <c r="H32" s="27">
        <v>67.852911</v>
      </c>
      <c r="I32" s="26"/>
      <c r="J32" s="25" t="s">
        <v>33</v>
      </c>
      <c r="K32" s="26">
        <f t="shared" si="1"/>
        <v>67.852911</v>
      </c>
      <c r="L32" s="26"/>
      <c r="M32" s="26"/>
      <c r="N32" s="26">
        <f>60.012911-60.012911+58.953558+8.899353</f>
        <v>67.852911</v>
      </c>
      <c r="O32" s="26"/>
    </row>
    <row r="33" s="2" customFormat="1" ht="41" customHeight="1" spans="1:15">
      <c r="A33" s="23"/>
      <c r="B33" s="24"/>
      <c r="C33" s="25"/>
      <c r="D33" s="25" t="s">
        <v>18</v>
      </c>
      <c r="E33" s="26">
        <f t="shared" si="0"/>
        <v>121.395</v>
      </c>
      <c r="F33" s="26"/>
      <c r="G33" s="27"/>
      <c r="H33" s="30"/>
      <c r="I33" s="26">
        <f>153.395-32</f>
        <v>121.395</v>
      </c>
      <c r="J33" s="25" t="s">
        <v>18</v>
      </c>
      <c r="K33" s="26">
        <f t="shared" si="1"/>
        <v>139.846204</v>
      </c>
      <c r="L33" s="26"/>
      <c r="M33" s="26"/>
      <c r="N33" s="26"/>
      <c r="O33" s="26">
        <f>0.86839+56.863014+11.494244+24.046574+46.573982</f>
        <v>139.846204</v>
      </c>
    </row>
    <row r="34" s="2" customFormat="1" ht="37.5" spans="1:15">
      <c r="A34" s="23">
        <v>14</v>
      </c>
      <c r="B34" s="24" t="s">
        <v>34</v>
      </c>
      <c r="C34" s="25" t="s">
        <v>32</v>
      </c>
      <c r="D34" s="25" t="s">
        <v>17</v>
      </c>
      <c r="E34" s="26">
        <f t="shared" si="0"/>
        <v>29.55</v>
      </c>
      <c r="F34" s="26">
        <v>29.55</v>
      </c>
      <c r="G34" s="27"/>
      <c r="H34" s="27"/>
      <c r="I34" s="28"/>
      <c r="J34" s="25" t="s">
        <v>17</v>
      </c>
      <c r="K34" s="26">
        <f t="shared" si="1"/>
        <v>29.55</v>
      </c>
      <c r="L34" s="26">
        <v>29.55</v>
      </c>
      <c r="M34" s="26"/>
      <c r="N34" s="26"/>
      <c r="O34" s="26"/>
    </row>
    <row r="35" s="2" customFormat="1" ht="37.5" spans="1:15">
      <c r="A35" s="23"/>
      <c r="B35" s="24"/>
      <c r="C35" s="25"/>
      <c r="D35" s="25" t="s">
        <v>33</v>
      </c>
      <c r="E35" s="26">
        <f t="shared" si="0"/>
        <v>18.310397</v>
      </c>
      <c r="F35" s="26"/>
      <c r="G35" s="27"/>
      <c r="H35" s="27">
        <v>18.310397</v>
      </c>
      <c r="I35" s="26"/>
      <c r="J35" s="25" t="s">
        <v>33</v>
      </c>
      <c r="K35" s="26">
        <f t="shared" si="1"/>
        <v>18.310397</v>
      </c>
      <c r="L35" s="26"/>
      <c r="M35" s="26"/>
      <c r="N35" s="26">
        <f>17.251044-17.251044+18.310397</f>
        <v>18.310397</v>
      </c>
      <c r="O35" s="26"/>
    </row>
    <row r="36" s="2" customFormat="1" ht="37.5" spans="1:15">
      <c r="A36" s="23"/>
      <c r="B36" s="24"/>
      <c r="C36" s="25"/>
      <c r="D36" s="25" t="s">
        <v>18</v>
      </c>
      <c r="E36" s="26">
        <f t="shared" si="0"/>
        <v>41.39</v>
      </c>
      <c r="F36" s="26"/>
      <c r="G36" s="27"/>
      <c r="H36" s="30"/>
      <c r="I36" s="26">
        <v>41.39</v>
      </c>
      <c r="J36" s="25" t="s">
        <v>18</v>
      </c>
      <c r="K36" s="26">
        <f t="shared" si="1"/>
        <v>50.10906</v>
      </c>
      <c r="L36" s="26"/>
      <c r="M36" s="26"/>
      <c r="N36" s="26"/>
      <c r="O36" s="26">
        <f>0.168322+16.068537+5.184785+7.445511+21.241905</f>
        <v>50.10906</v>
      </c>
    </row>
    <row r="37" s="2" customFormat="1" ht="37.5" spans="1:15">
      <c r="A37" s="23">
        <v>15</v>
      </c>
      <c r="B37" s="24" t="s">
        <v>35</v>
      </c>
      <c r="C37" s="25" t="s">
        <v>32</v>
      </c>
      <c r="D37" s="25" t="s">
        <v>17</v>
      </c>
      <c r="E37" s="26">
        <f t="shared" si="0"/>
        <v>39.39</v>
      </c>
      <c r="F37" s="26">
        <v>39.39</v>
      </c>
      <c r="G37" s="27"/>
      <c r="H37" s="27"/>
      <c r="I37" s="28"/>
      <c r="J37" s="25" t="s">
        <v>17</v>
      </c>
      <c r="K37" s="26">
        <f t="shared" si="1"/>
        <v>39.39</v>
      </c>
      <c r="L37" s="26">
        <v>39.39</v>
      </c>
      <c r="M37" s="26"/>
      <c r="N37" s="26"/>
      <c r="O37" s="26"/>
    </row>
    <row r="38" s="2" customFormat="1" ht="43" customHeight="1" spans="1:15">
      <c r="A38" s="23"/>
      <c r="B38" s="24"/>
      <c r="C38" s="25"/>
      <c r="D38" s="25" t="s">
        <v>18</v>
      </c>
      <c r="E38" s="26">
        <f t="shared" si="0"/>
        <v>77.91</v>
      </c>
      <c r="F38" s="26"/>
      <c r="G38" s="27"/>
      <c r="H38" s="27"/>
      <c r="I38" s="26">
        <f>91.91-14</f>
        <v>77.91</v>
      </c>
      <c r="J38" s="25" t="s">
        <v>18</v>
      </c>
      <c r="K38" s="26">
        <f t="shared" si="1"/>
        <v>87.96347</v>
      </c>
      <c r="L38" s="26"/>
      <c r="M38" s="26"/>
      <c r="N38" s="26"/>
      <c r="O38" s="26">
        <f>1.102139+54.396103+9.645674+22.819554</f>
        <v>87.96347</v>
      </c>
    </row>
    <row r="39" s="2" customFormat="1" ht="37.5" spans="1:15">
      <c r="A39" s="23">
        <v>16</v>
      </c>
      <c r="B39" s="24" t="s">
        <v>36</v>
      </c>
      <c r="C39" s="25" t="s">
        <v>32</v>
      </c>
      <c r="D39" s="25" t="s">
        <v>17</v>
      </c>
      <c r="E39" s="26">
        <f t="shared" si="0"/>
        <v>42.865869</v>
      </c>
      <c r="F39" s="26">
        <v>42.865869</v>
      </c>
      <c r="G39" s="27"/>
      <c r="H39" s="27"/>
      <c r="I39" s="26"/>
      <c r="J39" s="25" t="s">
        <v>17</v>
      </c>
      <c r="K39" s="26">
        <f t="shared" si="1"/>
        <v>42.865869</v>
      </c>
      <c r="L39" s="26">
        <f>42.865869</f>
        <v>42.865869</v>
      </c>
      <c r="M39" s="26"/>
      <c r="N39" s="26"/>
      <c r="O39" s="26"/>
    </row>
    <row r="40" s="2" customFormat="1" ht="37.5" spans="1:15">
      <c r="A40" s="23"/>
      <c r="B40" s="24"/>
      <c r="C40" s="25"/>
      <c r="D40" s="25" t="s">
        <v>18</v>
      </c>
      <c r="E40" s="26">
        <f t="shared" si="0"/>
        <v>85.014131</v>
      </c>
      <c r="F40" s="26"/>
      <c r="G40" s="27"/>
      <c r="H40" s="27"/>
      <c r="I40" s="26">
        <f>100.014131-15</f>
        <v>85.014131</v>
      </c>
      <c r="J40" s="25" t="s">
        <v>18</v>
      </c>
      <c r="K40" s="26">
        <f t="shared" si="1"/>
        <v>85.474543</v>
      </c>
      <c r="L40" s="26"/>
      <c r="M40" s="26"/>
      <c r="N40" s="26"/>
      <c r="O40" s="26">
        <f>45.715541+14.303429+7.994824+17.460749</f>
        <v>85.474543</v>
      </c>
    </row>
    <row r="41" s="2" customFormat="1" ht="37.5" spans="1:15">
      <c r="A41" s="23">
        <v>17</v>
      </c>
      <c r="B41" s="24" t="s">
        <v>37</v>
      </c>
      <c r="C41" s="25" t="s">
        <v>32</v>
      </c>
      <c r="D41" s="25" t="s">
        <v>17</v>
      </c>
      <c r="E41" s="26">
        <f t="shared" si="0"/>
        <v>26</v>
      </c>
      <c r="F41" s="26">
        <v>26</v>
      </c>
      <c r="G41" s="27"/>
      <c r="H41" s="27"/>
      <c r="I41" s="26"/>
      <c r="J41" s="25" t="s">
        <v>17</v>
      </c>
      <c r="K41" s="26">
        <f t="shared" si="1"/>
        <v>25.248673</v>
      </c>
      <c r="L41" s="26">
        <f>19.594512+5.654161</f>
        <v>25.248673</v>
      </c>
      <c r="M41" s="26"/>
      <c r="N41" s="26"/>
      <c r="O41" s="26"/>
    </row>
    <row r="42" s="2" customFormat="1" ht="37.5" spans="1:15">
      <c r="A42" s="23"/>
      <c r="B42" s="24"/>
      <c r="C42" s="25"/>
      <c r="D42" s="25" t="s">
        <v>18</v>
      </c>
      <c r="E42" s="26">
        <f t="shared" si="0"/>
        <v>32.48</v>
      </c>
      <c r="F42" s="26"/>
      <c r="G42" s="27"/>
      <c r="H42" s="27"/>
      <c r="I42" s="26">
        <f>39.48-7</f>
        <v>32.48</v>
      </c>
      <c r="J42" s="25" t="s">
        <v>18</v>
      </c>
      <c r="K42" s="26">
        <f t="shared" si="1"/>
        <v>33.417537</v>
      </c>
      <c r="L42" s="26"/>
      <c r="M42" s="26"/>
      <c r="N42" s="26"/>
      <c r="O42" s="26">
        <f>21.781221+3.665284+7.971032</f>
        <v>33.417537</v>
      </c>
    </row>
    <row r="43" s="2" customFormat="1" ht="37.5" spans="1:15">
      <c r="A43" s="23">
        <v>18</v>
      </c>
      <c r="B43" s="24" t="s">
        <v>38</v>
      </c>
      <c r="C43" s="25" t="s">
        <v>32</v>
      </c>
      <c r="D43" s="25" t="s">
        <v>17</v>
      </c>
      <c r="E43" s="26">
        <f t="shared" si="0"/>
        <v>26.16</v>
      </c>
      <c r="F43" s="26">
        <v>26.16</v>
      </c>
      <c r="G43" s="27"/>
      <c r="H43" s="30"/>
      <c r="I43" s="26"/>
      <c r="J43" s="25" t="s">
        <v>17</v>
      </c>
      <c r="K43" s="26">
        <f t="shared" si="1"/>
        <v>26.16</v>
      </c>
      <c r="L43" s="26">
        <f>19.609683+6.550317</f>
        <v>26.16</v>
      </c>
      <c r="M43" s="26"/>
      <c r="N43" s="26"/>
      <c r="O43" s="26"/>
    </row>
    <row r="44" s="2" customFormat="1" ht="37.5" spans="1:15">
      <c r="A44" s="23"/>
      <c r="B44" s="24"/>
      <c r="C44" s="25"/>
      <c r="D44" s="25" t="s">
        <v>18</v>
      </c>
      <c r="E44" s="26">
        <f t="shared" si="0"/>
        <v>32.2</v>
      </c>
      <c r="F44" s="26"/>
      <c r="G44" s="27"/>
      <c r="H44" s="27"/>
      <c r="I44" s="26">
        <f>39.2-7</f>
        <v>32.2</v>
      </c>
      <c r="J44" s="25" t="s">
        <v>18</v>
      </c>
      <c r="K44" s="26">
        <f t="shared" si="1"/>
        <v>38.671627</v>
      </c>
      <c r="L44" s="26"/>
      <c r="M44" s="26"/>
      <c r="N44" s="26"/>
      <c r="O44" s="26">
        <f>23.48-6.550317+4.086199+3.561293+14.094452</f>
        <v>38.671627</v>
      </c>
    </row>
    <row r="45" s="2" customFormat="1" ht="37.5" spans="1:15">
      <c r="A45" s="23">
        <v>19</v>
      </c>
      <c r="B45" s="24" t="s">
        <v>39</v>
      </c>
      <c r="C45" s="25" t="s">
        <v>32</v>
      </c>
      <c r="D45" s="25" t="s">
        <v>17</v>
      </c>
      <c r="E45" s="26">
        <f t="shared" si="0"/>
        <v>18.75</v>
      </c>
      <c r="F45" s="26">
        <v>18.75</v>
      </c>
      <c r="G45" s="27"/>
      <c r="H45" s="30"/>
      <c r="I45" s="26"/>
      <c r="J45" s="25" t="s">
        <v>17</v>
      </c>
      <c r="K45" s="26">
        <f t="shared" si="1"/>
        <v>18.75</v>
      </c>
      <c r="L45" s="26">
        <f>13.166676+5.583324</f>
        <v>18.75</v>
      </c>
      <c r="M45" s="26"/>
      <c r="N45" s="26"/>
      <c r="O45" s="26"/>
    </row>
    <row r="46" s="2" customFormat="1" ht="37.5" spans="1:15">
      <c r="A46" s="23"/>
      <c r="B46" s="24"/>
      <c r="C46" s="25"/>
      <c r="D46" s="25" t="s">
        <v>18</v>
      </c>
      <c r="E46" s="26">
        <f t="shared" si="0"/>
        <v>20.14</v>
      </c>
      <c r="F46" s="26"/>
      <c r="G46" s="27"/>
      <c r="H46" s="27"/>
      <c r="I46" s="26">
        <f>25.14-5</f>
        <v>20.14</v>
      </c>
      <c r="J46" s="25" t="s">
        <v>18</v>
      </c>
      <c r="K46" s="26">
        <f t="shared" si="1"/>
        <v>25.905585</v>
      </c>
      <c r="L46" s="26"/>
      <c r="M46" s="26"/>
      <c r="N46" s="26"/>
      <c r="O46" s="26">
        <f>15.82-5.583324+2.721434+2.258741+10.688734</f>
        <v>25.905585</v>
      </c>
    </row>
    <row r="47" s="2" customFormat="1" ht="37.5" spans="1:15">
      <c r="A47" s="23">
        <v>20</v>
      </c>
      <c r="B47" s="24" t="s">
        <v>40</v>
      </c>
      <c r="C47" s="25" t="s">
        <v>32</v>
      </c>
      <c r="D47" s="25" t="s">
        <v>17</v>
      </c>
      <c r="E47" s="26">
        <f t="shared" si="0"/>
        <v>18.700222</v>
      </c>
      <c r="F47" s="26">
        <v>18.700222</v>
      </c>
      <c r="G47" s="27"/>
      <c r="H47" s="27"/>
      <c r="I47" s="28"/>
      <c r="J47" s="25" t="s">
        <v>17</v>
      </c>
      <c r="K47" s="26">
        <f t="shared" si="1"/>
        <v>18.700222</v>
      </c>
      <c r="L47" s="26">
        <v>18.700222</v>
      </c>
      <c r="M47" s="26"/>
      <c r="N47" s="26"/>
      <c r="O47" s="26"/>
    </row>
    <row r="48" s="2" customFormat="1" ht="37.5" spans="1:15">
      <c r="A48" s="23"/>
      <c r="B48" s="24"/>
      <c r="C48" s="25"/>
      <c r="D48" s="25" t="s">
        <v>18</v>
      </c>
      <c r="E48" s="26">
        <f t="shared" si="0"/>
        <v>36.84</v>
      </c>
      <c r="F48" s="26"/>
      <c r="G48" s="27"/>
      <c r="H48" s="27"/>
      <c r="I48" s="26">
        <f>42.84-6</f>
        <v>36.84</v>
      </c>
      <c r="J48" s="25" t="s">
        <v>18</v>
      </c>
      <c r="K48" s="26">
        <f t="shared" si="1"/>
        <v>14.948563</v>
      </c>
      <c r="L48" s="26"/>
      <c r="M48" s="26"/>
      <c r="N48" s="26"/>
      <c r="O48" s="26">
        <f>14.948563</f>
        <v>14.948563</v>
      </c>
    </row>
    <row r="49" s="2" customFormat="1" ht="70" customHeight="1" spans="1:219">
      <c r="A49" s="23">
        <v>21</v>
      </c>
      <c r="B49" s="24" t="s">
        <v>41</v>
      </c>
      <c r="C49" s="25" t="s">
        <v>32</v>
      </c>
      <c r="D49" s="25" t="s">
        <v>17</v>
      </c>
      <c r="E49" s="26">
        <f t="shared" si="0"/>
        <v>5.63</v>
      </c>
      <c r="F49" s="26">
        <v>5.63</v>
      </c>
      <c r="G49" s="27"/>
      <c r="H49" s="27"/>
      <c r="I49" s="26"/>
      <c r="J49" s="25" t="s">
        <v>17</v>
      </c>
      <c r="K49" s="26">
        <f t="shared" si="1"/>
        <v>5.058474</v>
      </c>
      <c r="L49" s="26">
        <f>1.68953+1.157322+1.27739+0.381172+0.55306</f>
        <v>5.058474</v>
      </c>
      <c r="M49" s="26"/>
      <c r="N49" s="26"/>
      <c r="O49" s="26"/>
    </row>
    <row r="50" s="2" customFormat="1" ht="37.5" spans="1:219">
      <c r="A50" s="23">
        <v>22</v>
      </c>
      <c r="B50" s="24" t="s">
        <v>42</v>
      </c>
      <c r="C50" s="25" t="s">
        <v>32</v>
      </c>
      <c r="D50" s="25" t="s">
        <v>17</v>
      </c>
      <c r="E50" s="26">
        <f t="shared" si="0"/>
        <v>37.8</v>
      </c>
      <c r="F50" s="26">
        <v>37.8</v>
      </c>
      <c r="G50" s="27"/>
      <c r="H50" s="27"/>
      <c r="I50" s="28"/>
      <c r="J50" s="25" t="s">
        <v>17</v>
      </c>
      <c r="K50" s="26">
        <f t="shared" si="1"/>
        <v>37.8</v>
      </c>
      <c r="L50" s="26">
        <f>15.889749+12.906104+9.004147</f>
        <v>37.8</v>
      </c>
      <c r="M50" s="26"/>
      <c r="N50" s="26"/>
      <c r="O50" s="26"/>
    </row>
    <row r="51" s="2" customFormat="1" ht="37.5" spans="1:219">
      <c r="A51" s="23"/>
      <c r="B51" s="24"/>
      <c r="C51" s="25"/>
      <c r="D51" s="25" t="s">
        <v>18</v>
      </c>
      <c r="E51" s="26">
        <f t="shared" si="0"/>
        <v>9.2</v>
      </c>
      <c r="F51" s="28"/>
      <c r="G51" s="27"/>
      <c r="H51" s="27"/>
      <c r="I51" s="26">
        <f>15.2-6</f>
        <v>9.2</v>
      </c>
      <c r="J51" s="25" t="s">
        <v>18</v>
      </c>
      <c r="K51" s="26">
        <f t="shared" si="1"/>
        <v>9.774098</v>
      </c>
      <c r="L51" s="26"/>
      <c r="M51" s="26"/>
      <c r="N51" s="26"/>
      <c r="O51" s="26">
        <f>0.266028+4.306636+5.201434</f>
        <v>9.774098</v>
      </c>
    </row>
    <row r="52" s="2" customFormat="1" ht="57" customHeight="1" spans="1:219">
      <c r="A52" s="23">
        <v>23</v>
      </c>
      <c r="B52" s="24" t="s">
        <v>43</v>
      </c>
      <c r="C52" s="25" t="s">
        <v>16</v>
      </c>
      <c r="D52" s="25" t="s">
        <v>17</v>
      </c>
      <c r="E52" s="26">
        <f t="shared" si="0"/>
        <v>1828.421</v>
      </c>
      <c r="F52" s="26">
        <v>1095.421</v>
      </c>
      <c r="G52" s="27">
        <f>900-112-55</f>
        <v>733</v>
      </c>
      <c r="H52" s="27"/>
      <c r="I52" s="26"/>
      <c r="J52" s="25" t="s">
        <v>17</v>
      </c>
      <c r="K52" s="26">
        <f t="shared" si="1"/>
        <v>1843.16472</v>
      </c>
      <c r="L52" s="26">
        <f>1095.421-0.032+0.024-0.32-0.18-0.096</f>
        <v>1094.817</v>
      </c>
      <c r="M52" s="26">
        <f>711.35492+17.06186+10.34936-0.001+9.58258</f>
        <v>748.34772</v>
      </c>
      <c r="N52" s="26"/>
      <c r="O52" s="26"/>
    </row>
    <row r="53" s="2" customFormat="1" ht="58" customHeight="1" spans="1:219">
      <c r="A53" s="23">
        <v>24</v>
      </c>
      <c r="B53" s="24" t="s">
        <v>44</v>
      </c>
      <c r="C53" s="25" t="s">
        <v>16</v>
      </c>
      <c r="D53" s="25" t="s">
        <v>17</v>
      </c>
      <c r="E53" s="26">
        <f t="shared" si="0"/>
        <v>230</v>
      </c>
      <c r="F53" s="26">
        <f>200-16</f>
        <v>184</v>
      </c>
      <c r="G53" s="27">
        <f>100-54</f>
        <v>46</v>
      </c>
      <c r="H53" s="27"/>
      <c r="I53" s="26"/>
      <c r="J53" s="25" t="s">
        <v>17</v>
      </c>
      <c r="K53" s="26">
        <f t="shared" si="1"/>
        <v>219.458058</v>
      </c>
      <c r="L53" s="26">
        <f>76.477411-0.052245+65.866949+0.052245-0.273606+0.273606+31.562532-0.058547</f>
        <v>173.848345</v>
      </c>
      <c r="M53" s="26">
        <f>45.609713-0.199175-0.032156-0.115942-0.15781+0.505083</f>
        <v>45.609713</v>
      </c>
      <c r="N53" s="26"/>
      <c r="O53" s="26"/>
    </row>
    <row r="54" s="2" customFormat="1" ht="56" customHeight="1" spans="1:219">
      <c r="A54" s="23">
        <v>25</v>
      </c>
      <c r="B54" s="24" t="s">
        <v>45</v>
      </c>
      <c r="C54" s="25" t="s">
        <v>46</v>
      </c>
      <c r="D54" s="25" t="s">
        <v>17</v>
      </c>
      <c r="E54" s="26">
        <f t="shared" si="0"/>
        <v>517.945</v>
      </c>
      <c r="F54" s="26">
        <v>267.5517</v>
      </c>
      <c r="G54" s="27">
        <v>250.3933</v>
      </c>
      <c r="H54" s="27"/>
      <c r="I54" s="26"/>
      <c r="J54" s="25" t="s">
        <v>17</v>
      </c>
      <c r="K54" s="26">
        <f t="shared" si="1"/>
        <v>517.6183</v>
      </c>
      <c r="L54" s="26">
        <f>197.4+66.9+0.975+0.975+0.975-0.525+0.375+0.15</f>
        <v>267.225</v>
      </c>
      <c r="M54" s="26">
        <f>0.0133+0.08+176.55+5.2+68.55-0.075+0.075</f>
        <v>250.3933</v>
      </c>
      <c r="N54" s="26"/>
      <c r="O54" s="26"/>
    </row>
    <row r="55" s="2" customFormat="1" ht="37.5" spans="1:219">
      <c r="A55" s="31">
        <v>26</v>
      </c>
      <c r="B55" s="32" t="s">
        <v>47</v>
      </c>
      <c r="C55" s="33" t="s">
        <v>48</v>
      </c>
      <c r="D55" s="25" t="s">
        <v>17</v>
      </c>
      <c r="E55" s="26">
        <f t="shared" si="0"/>
        <v>1302.617107</v>
      </c>
      <c r="F55" s="26">
        <v>541.476</v>
      </c>
      <c r="G55" s="27">
        <f>789.259317-28.1121-0.00611</f>
        <v>761.141107</v>
      </c>
      <c r="H55" s="27"/>
      <c r="I55" s="26"/>
      <c r="J55" s="25" t="s">
        <v>17</v>
      </c>
      <c r="K55" s="26">
        <f t="shared" si="1"/>
        <v>1298.124</v>
      </c>
      <c r="L55" s="26">
        <f>234.12+117.912+70.308+119.136</f>
        <v>541.476</v>
      </c>
      <c r="M55" s="26">
        <f>48.774+118.92+117.756+117.678+117.822+118.566+117.132</f>
        <v>756.648</v>
      </c>
      <c r="N55" s="26"/>
      <c r="O55" s="26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</row>
    <row r="56" s="2" customFormat="1" ht="37.5" spans="1:219">
      <c r="A56" s="34"/>
      <c r="B56" s="35"/>
      <c r="C56" s="36"/>
      <c r="D56" s="25" t="s">
        <v>49</v>
      </c>
      <c r="E56" s="26">
        <f t="shared" si="0"/>
        <v>28.1121</v>
      </c>
      <c r="F56" s="26"/>
      <c r="G56" s="27">
        <v>28.1121</v>
      </c>
      <c r="H56" s="27"/>
      <c r="I56" s="26"/>
      <c r="J56" s="25" t="s">
        <v>49</v>
      </c>
      <c r="K56" s="26">
        <f t="shared" si="1"/>
        <v>28.1121</v>
      </c>
      <c r="L56" s="26"/>
      <c r="M56" s="26">
        <v>28.1121</v>
      </c>
      <c r="N56" s="26"/>
      <c r="O56" s="26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</row>
    <row r="57" s="2" customFormat="1" ht="47" customHeight="1" spans="1:219">
      <c r="A57" s="37"/>
      <c r="B57" s="38"/>
      <c r="C57" s="39"/>
      <c r="D57" s="25" t="s">
        <v>18</v>
      </c>
      <c r="E57" s="26">
        <f t="shared" si="0"/>
        <v>0</v>
      </c>
      <c r="F57" s="26"/>
      <c r="G57" s="27"/>
      <c r="H57" s="27"/>
      <c r="I57" s="26"/>
      <c r="J57" s="25" t="s">
        <v>18</v>
      </c>
      <c r="K57" s="26">
        <f t="shared" si="1"/>
        <v>89.9379</v>
      </c>
      <c r="L57" s="26"/>
      <c r="M57" s="26"/>
      <c r="N57" s="26"/>
      <c r="O57" s="26">
        <f>89.9379</f>
        <v>89.9379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</row>
    <row r="58" s="2" customFormat="1" ht="65" customHeight="1" spans="1:219">
      <c r="A58" s="23">
        <v>27</v>
      </c>
      <c r="B58" s="24" t="s">
        <v>50</v>
      </c>
      <c r="C58" s="25" t="s">
        <v>48</v>
      </c>
      <c r="D58" s="25" t="s">
        <v>17</v>
      </c>
      <c r="E58" s="26">
        <f t="shared" si="0"/>
        <v>300</v>
      </c>
      <c r="F58" s="26">
        <v>180</v>
      </c>
      <c r="G58" s="27">
        <v>120</v>
      </c>
      <c r="H58" s="27"/>
      <c r="I58" s="26"/>
      <c r="J58" s="25" t="s">
        <v>17</v>
      </c>
      <c r="K58" s="26">
        <f t="shared" si="1"/>
        <v>309.6</v>
      </c>
      <c r="L58" s="26">
        <f>104.16+56.94+18.39+0.51+1.98+3.84+3.78</f>
        <v>189.6</v>
      </c>
      <c r="M58" s="26">
        <f>38.22+24.9+12.9+6.57+9.33+11.67+16.41</f>
        <v>120</v>
      </c>
      <c r="N58" s="26"/>
      <c r="O58" s="26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</row>
    <row r="59" s="2" customFormat="1" ht="50" customHeight="1" spans="1:219">
      <c r="A59" s="23">
        <v>28</v>
      </c>
      <c r="B59" s="24" t="s">
        <v>51</v>
      </c>
      <c r="C59" s="25" t="s">
        <v>48</v>
      </c>
      <c r="D59" s="25" t="s">
        <v>17</v>
      </c>
      <c r="E59" s="26">
        <f t="shared" si="0"/>
        <v>205</v>
      </c>
      <c r="F59" s="26">
        <v>145</v>
      </c>
      <c r="G59" s="27">
        <v>60</v>
      </c>
      <c r="H59" s="27"/>
      <c r="I59" s="26"/>
      <c r="J59" s="25" t="s">
        <v>17</v>
      </c>
      <c r="K59" s="26">
        <f t="shared" si="1"/>
        <v>218.62</v>
      </c>
      <c r="L59" s="26">
        <f>14.16+17.88+14.54+84.34+17.88+4.14+5.68</f>
        <v>158.62</v>
      </c>
      <c r="M59" s="26">
        <f>35.44+7.14+5.4+9.7+2.32</f>
        <v>60</v>
      </c>
      <c r="N59" s="26"/>
      <c r="O59" s="26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</row>
    <row r="60" s="2" customFormat="1" ht="52" customHeight="1" spans="1:219">
      <c r="A60" s="23">
        <v>29</v>
      </c>
      <c r="B60" s="24" t="s">
        <v>52</v>
      </c>
      <c r="C60" s="25" t="s">
        <v>16</v>
      </c>
      <c r="D60" s="25" t="s">
        <v>18</v>
      </c>
      <c r="E60" s="26">
        <f t="shared" si="0"/>
        <v>16.0425</v>
      </c>
      <c r="F60" s="26"/>
      <c r="G60" s="27"/>
      <c r="H60" s="27"/>
      <c r="I60" s="26">
        <f>15.561225+0.481275</f>
        <v>16.0425</v>
      </c>
      <c r="J60" s="25" t="s">
        <v>18</v>
      </c>
      <c r="K60" s="26">
        <f t="shared" si="1"/>
        <v>16.0425</v>
      </c>
      <c r="L60" s="26"/>
      <c r="M60" s="26"/>
      <c r="N60" s="26"/>
      <c r="O60" s="26">
        <f>15.561225+0.481275</f>
        <v>16.0425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</row>
    <row r="61" s="2" customFormat="1" ht="76" customHeight="1" spans="1:219">
      <c r="A61" s="23">
        <v>30</v>
      </c>
      <c r="B61" s="24" t="s">
        <v>53</v>
      </c>
      <c r="C61" s="25" t="s">
        <v>32</v>
      </c>
      <c r="D61" s="25" t="s">
        <v>17</v>
      </c>
      <c r="E61" s="26">
        <f t="shared" si="0"/>
        <v>170</v>
      </c>
      <c r="F61" s="26">
        <f>180-10</f>
        <v>170</v>
      </c>
      <c r="G61" s="27"/>
      <c r="H61" s="27"/>
      <c r="I61" s="26"/>
      <c r="J61" s="25" t="s">
        <v>17</v>
      </c>
      <c r="K61" s="26">
        <f t="shared" si="1"/>
        <v>175.06704</v>
      </c>
      <c r="L61" s="26">
        <f>53.133791+39.869231+50.477913+15.920366+10.413656</f>
        <v>169.814957</v>
      </c>
      <c r="M61" s="26">
        <v>5.252083</v>
      </c>
      <c r="N61" s="26"/>
      <c r="O61" s="26"/>
    </row>
    <row r="62" s="2" customFormat="1" ht="102" customHeight="1" spans="1:219">
      <c r="A62" s="23">
        <v>31</v>
      </c>
      <c r="B62" s="24" t="s">
        <v>54</v>
      </c>
      <c r="C62" s="25" t="s">
        <v>16</v>
      </c>
      <c r="D62" s="25" t="s">
        <v>17</v>
      </c>
      <c r="E62" s="26">
        <f t="shared" si="0"/>
        <v>350</v>
      </c>
      <c r="F62" s="26">
        <f>350</f>
        <v>350</v>
      </c>
      <c r="G62" s="27"/>
      <c r="H62" s="27"/>
      <c r="I62" s="26"/>
      <c r="J62" s="25" t="s">
        <v>17</v>
      </c>
      <c r="K62" s="26">
        <f t="shared" si="1"/>
        <v>355.184329</v>
      </c>
      <c r="L62" s="26">
        <v>344.989875</v>
      </c>
      <c r="M62" s="26">
        <v>10.194454</v>
      </c>
      <c r="N62" s="26"/>
      <c r="O62" s="26"/>
    </row>
    <row r="63" s="2" customFormat="1" ht="37.5" spans="1:219">
      <c r="A63" s="23">
        <v>32</v>
      </c>
      <c r="B63" s="24" t="s">
        <v>55</v>
      </c>
      <c r="C63" s="25" t="s">
        <v>32</v>
      </c>
      <c r="D63" s="25" t="s">
        <v>17</v>
      </c>
      <c r="E63" s="26">
        <f t="shared" si="0"/>
        <v>100.220683</v>
      </c>
      <c r="F63" s="26">
        <v>88.95</v>
      </c>
      <c r="G63" s="27">
        <v>11.270683</v>
      </c>
      <c r="H63" s="30"/>
      <c r="I63" s="26"/>
      <c r="J63" s="25" t="s">
        <v>17</v>
      </c>
      <c r="K63" s="26">
        <f t="shared" si="1"/>
        <v>100.220683</v>
      </c>
      <c r="L63" s="26">
        <f>83.124439+5.825561</f>
        <v>88.95</v>
      </c>
      <c r="M63" s="26">
        <v>11.270683</v>
      </c>
      <c r="N63" s="26"/>
      <c r="O63" s="26"/>
    </row>
    <row r="64" s="2" customFormat="1" ht="37.5" spans="1:219">
      <c r="A64" s="23"/>
      <c r="B64" s="24"/>
      <c r="C64" s="25"/>
      <c r="D64" s="25" t="s">
        <v>33</v>
      </c>
      <c r="E64" s="26">
        <f t="shared" si="0"/>
        <v>148.879317</v>
      </c>
      <c r="F64" s="26"/>
      <c r="G64" s="27"/>
      <c r="H64" s="27">
        <f>176.879317-28</f>
        <v>148.879317</v>
      </c>
      <c r="I64" s="26"/>
      <c r="J64" s="25" t="s">
        <v>33</v>
      </c>
      <c r="K64" s="26">
        <f t="shared" si="1"/>
        <v>130.898934</v>
      </c>
      <c r="L64" s="26"/>
      <c r="M64" s="40"/>
      <c r="N64" s="26">
        <f>82.924865-5.825561-11.270683+65.070313</f>
        <v>130.898934</v>
      </c>
      <c r="O64" s="26"/>
    </row>
    <row r="65" s="2" customFormat="1" ht="37.5" spans="1:15">
      <c r="A65" s="23">
        <v>33</v>
      </c>
      <c r="B65" s="24" t="s">
        <v>56</v>
      </c>
      <c r="C65" s="25" t="s">
        <v>32</v>
      </c>
      <c r="D65" s="25" t="s">
        <v>17</v>
      </c>
      <c r="E65" s="26">
        <f t="shared" si="0"/>
        <v>5.73</v>
      </c>
      <c r="F65" s="26">
        <v>5.73</v>
      </c>
      <c r="G65" s="27"/>
      <c r="H65" s="30"/>
      <c r="I65" s="26"/>
      <c r="J65" s="25" t="s">
        <v>17</v>
      </c>
      <c r="K65" s="26">
        <f t="shared" si="1"/>
        <v>5.73</v>
      </c>
      <c r="L65" s="26">
        <f>5.351324+0.378676</f>
        <v>5.73</v>
      </c>
      <c r="M65" s="40"/>
      <c r="N65" s="26"/>
      <c r="O65" s="26"/>
    </row>
    <row r="66" s="2" customFormat="1" ht="37.5" spans="1:15">
      <c r="A66" s="23"/>
      <c r="B66" s="24"/>
      <c r="C66" s="25"/>
      <c r="D66" s="25" t="s">
        <v>33</v>
      </c>
      <c r="E66" s="26">
        <f t="shared" si="0"/>
        <v>12.11</v>
      </c>
      <c r="F66" s="26"/>
      <c r="G66" s="27"/>
      <c r="H66" s="27">
        <v>12.11</v>
      </c>
      <c r="I66" s="26"/>
      <c r="J66" s="25" t="s">
        <v>33</v>
      </c>
      <c r="K66" s="26">
        <f t="shared" si="1"/>
        <v>9.451117</v>
      </c>
      <c r="L66" s="26"/>
      <c r="M66" s="40"/>
      <c r="N66" s="26">
        <f>0.041171+8.617742+0.792204</f>
        <v>9.451117</v>
      </c>
      <c r="O66" s="26"/>
    </row>
    <row r="67" s="2" customFormat="1" ht="37.5" spans="1:15">
      <c r="A67" s="23">
        <v>34</v>
      </c>
      <c r="B67" s="24" t="s">
        <v>57</v>
      </c>
      <c r="C67" s="25" t="s">
        <v>32</v>
      </c>
      <c r="D67" s="25" t="s">
        <v>17</v>
      </c>
      <c r="E67" s="26">
        <f t="shared" si="0"/>
        <v>30.49</v>
      </c>
      <c r="F67" s="26">
        <v>30.49</v>
      </c>
      <c r="G67" s="27"/>
      <c r="H67" s="30"/>
      <c r="I67" s="26"/>
      <c r="J67" s="25" t="s">
        <v>17</v>
      </c>
      <c r="K67" s="26">
        <f t="shared" si="1"/>
        <v>30.49</v>
      </c>
      <c r="L67" s="26">
        <f>22.680066+7.809934</f>
        <v>30.49</v>
      </c>
      <c r="M67" s="40"/>
      <c r="N67" s="26"/>
      <c r="O67" s="26"/>
    </row>
    <row r="68" s="2" customFormat="1" ht="37.5" spans="1:15">
      <c r="A68" s="23"/>
      <c r="B68" s="24"/>
      <c r="C68" s="25"/>
      <c r="D68" s="25" t="s">
        <v>33</v>
      </c>
      <c r="E68" s="26">
        <f t="shared" si="0"/>
        <v>37.11</v>
      </c>
      <c r="F68" s="26"/>
      <c r="G68" s="27"/>
      <c r="H68" s="27">
        <f>45.11-8</f>
        <v>37.11</v>
      </c>
      <c r="I68" s="26"/>
      <c r="J68" s="25" t="s">
        <v>33</v>
      </c>
      <c r="K68" s="26">
        <f t="shared" si="1"/>
        <v>32.690786</v>
      </c>
      <c r="L68" s="26"/>
      <c r="M68" s="26"/>
      <c r="N68" s="26">
        <f>21.408661+11.282125</f>
        <v>32.690786</v>
      </c>
      <c r="O68" s="26"/>
    </row>
    <row r="69" s="2" customFormat="1" ht="50" customHeight="1" spans="1:15">
      <c r="A69" s="23">
        <v>35</v>
      </c>
      <c r="B69" s="24" t="s">
        <v>58</v>
      </c>
      <c r="C69" s="25" t="s">
        <v>32</v>
      </c>
      <c r="D69" s="25" t="s">
        <v>17</v>
      </c>
      <c r="E69" s="26">
        <f t="shared" si="0"/>
        <v>24.03</v>
      </c>
      <c r="F69" s="26">
        <v>24.03</v>
      </c>
      <c r="G69" s="27"/>
      <c r="H69" s="30"/>
      <c r="I69" s="26"/>
      <c r="J69" s="25" t="s">
        <v>17</v>
      </c>
      <c r="K69" s="26">
        <f t="shared" si="1"/>
        <v>24.03</v>
      </c>
      <c r="L69" s="26">
        <f>23.824514+0.205486</f>
        <v>24.03</v>
      </c>
      <c r="M69" s="26"/>
      <c r="N69" s="26"/>
      <c r="O69" s="26"/>
    </row>
    <row r="70" s="2" customFormat="1" ht="42" customHeight="1" spans="1:15">
      <c r="A70" s="23"/>
      <c r="B70" s="24"/>
      <c r="C70" s="25"/>
      <c r="D70" s="25" t="s">
        <v>33</v>
      </c>
      <c r="E70" s="26">
        <f t="shared" si="0"/>
        <v>47.39</v>
      </c>
      <c r="F70" s="26"/>
      <c r="G70" s="27"/>
      <c r="H70" s="27">
        <f>55.39-8</f>
        <v>47.39</v>
      </c>
      <c r="I70" s="26"/>
      <c r="J70" s="25" t="s">
        <v>33</v>
      </c>
      <c r="K70" s="26">
        <f t="shared" si="1"/>
        <v>42.636427</v>
      </c>
      <c r="L70" s="26"/>
      <c r="M70" s="26"/>
      <c r="N70" s="26">
        <f>24.113579-0.205486+18.728334</f>
        <v>42.636427</v>
      </c>
      <c r="O70" s="26"/>
    </row>
    <row r="71" s="2" customFormat="1" ht="67" customHeight="1" spans="1:15">
      <c r="A71" s="23">
        <v>36</v>
      </c>
      <c r="B71" s="24" t="s">
        <v>59</v>
      </c>
      <c r="C71" s="25" t="s">
        <v>32</v>
      </c>
      <c r="D71" s="25" t="s">
        <v>18</v>
      </c>
      <c r="E71" s="26">
        <f t="shared" ref="E71:E96" si="2">F71+G71+H71+I71</f>
        <v>38.23</v>
      </c>
      <c r="F71" s="26"/>
      <c r="G71" s="27"/>
      <c r="H71" s="27"/>
      <c r="I71" s="26">
        <f>44-5.77</f>
        <v>38.23</v>
      </c>
      <c r="J71" s="25" t="s">
        <v>18</v>
      </c>
      <c r="K71" s="26">
        <f t="shared" ref="K71:K134" si="3">L71+M71+N71+O71</f>
        <v>38.229902</v>
      </c>
      <c r="L71" s="26"/>
      <c r="M71" s="26"/>
      <c r="N71" s="26"/>
      <c r="O71" s="26">
        <f>18.831184+9.514825+9.883893</f>
        <v>38.229902</v>
      </c>
    </row>
    <row r="72" s="2" customFormat="1" ht="37.5" spans="1:15">
      <c r="A72" s="31">
        <v>37</v>
      </c>
      <c r="B72" s="24" t="s">
        <v>60</v>
      </c>
      <c r="C72" s="25" t="s">
        <v>32</v>
      </c>
      <c r="D72" s="25" t="s">
        <v>18</v>
      </c>
      <c r="E72" s="26">
        <f t="shared" si="2"/>
        <v>31.98</v>
      </c>
      <c r="F72" s="26"/>
      <c r="G72" s="27"/>
      <c r="H72" s="27"/>
      <c r="I72" s="26">
        <v>31.98</v>
      </c>
      <c r="J72" s="41" t="s">
        <v>18</v>
      </c>
      <c r="K72" s="26">
        <f t="shared" si="3"/>
        <v>8.761988</v>
      </c>
      <c r="L72" s="26"/>
      <c r="M72" s="26"/>
      <c r="N72" s="26"/>
      <c r="O72" s="26">
        <f>8.761988</f>
        <v>8.761988</v>
      </c>
    </row>
    <row r="73" s="2" customFormat="1" ht="37.5" spans="1:15">
      <c r="A73" s="37"/>
      <c r="B73" s="24"/>
      <c r="C73" s="25"/>
      <c r="D73" s="25" t="s">
        <v>17</v>
      </c>
      <c r="E73" s="26">
        <f t="shared" si="2"/>
        <v>0</v>
      </c>
      <c r="F73" s="26"/>
      <c r="G73" s="27"/>
      <c r="H73" s="27"/>
      <c r="I73" s="26"/>
      <c r="J73" s="41" t="s">
        <v>17</v>
      </c>
      <c r="K73" s="26">
        <f t="shared" si="3"/>
        <v>17.523976</v>
      </c>
      <c r="L73" s="26">
        <f>17.523976</f>
        <v>17.523976</v>
      </c>
      <c r="M73" s="26"/>
      <c r="N73" s="26"/>
      <c r="O73" s="26"/>
    </row>
    <row r="74" s="2" customFormat="1" ht="37.5" spans="1:15">
      <c r="A74" s="31">
        <v>38</v>
      </c>
      <c r="B74" s="24" t="s">
        <v>61</v>
      </c>
      <c r="C74" s="25" t="s">
        <v>32</v>
      </c>
      <c r="D74" s="25" t="s">
        <v>18</v>
      </c>
      <c r="E74" s="26">
        <f t="shared" si="2"/>
        <v>24.645</v>
      </c>
      <c r="F74" s="26"/>
      <c r="G74" s="27"/>
      <c r="H74" s="27"/>
      <c r="I74" s="26">
        <v>24.645</v>
      </c>
      <c r="J74" s="41" t="s">
        <v>18</v>
      </c>
      <c r="K74" s="26">
        <f t="shared" si="3"/>
        <v>6.91599</v>
      </c>
      <c r="L74" s="26"/>
      <c r="M74" s="26"/>
      <c r="N74" s="26"/>
      <c r="O74" s="26">
        <f>6.91599</f>
        <v>6.91599</v>
      </c>
    </row>
    <row r="75" s="2" customFormat="1" ht="37.5" spans="1:15">
      <c r="A75" s="37"/>
      <c r="B75" s="24"/>
      <c r="C75" s="25"/>
      <c r="D75" s="25" t="s">
        <v>17</v>
      </c>
      <c r="E75" s="26">
        <f t="shared" si="2"/>
        <v>0</v>
      </c>
      <c r="F75" s="26"/>
      <c r="G75" s="27"/>
      <c r="H75" s="27"/>
      <c r="I75" s="26"/>
      <c r="J75" s="41" t="s">
        <v>17</v>
      </c>
      <c r="K75" s="26">
        <f t="shared" si="3"/>
        <v>13.831981</v>
      </c>
      <c r="L75" s="26">
        <f>13.831981</f>
        <v>13.831981</v>
      </c>
      <c r="M75" s="26"/>
      <c r="N75" s="26"/>
      <c r="O75" s="26"/>
    </row>
    <row r="76" s="2" customFormat="1" ht="37.5" spans="1:15">
      <c r="A76" s="23">
        <v>39</v>
      </c>
      <c r="B76" s="24" t="s">
        <v>62</v>
      </c>
      <c r="C76" s="25" t="s">
        <v>32</v>
      </c>
      <c r="D76" s="25" t="s">
        <v>17</v>
      </c>
      <c r="E76" s="26">
        <f t="shared" si="2"/>
        <v>99.4</v>
      </c>
      <c r="F76" s="26">
        <v>42.6</v>
      </c>
      <c r="G76" s="27">
        <v>56.8</v>
      </c>
      <c r="H76" s="27"/>
      <c r="I76" s="28"/>
      <c r="J76" s="25" t="s">
        <v>17</v>
      </c>
      <c r="K76" s="26">
        <f t="shared" si="3"/>
        <v>99.4</v>
      </c>
      <c r="L76" s="26">
        <f>0.861+21.11+16.873+3.756</f>
        <v>42.6</v>
      </c>
      <c r="M76" s="26">
        <f>35.19-3.756+1.148+7.03+12.25+0.574+3.15+1.214</f>
        <v>56.8</v>
      </c>
      <c r="N76" s="26"/>
      <c r="O76" s="26"/>
    </row>
    <row r="77" s="2" customFormat="1" ht="45" customHeight="1" spans="1:15">
      <c r="A77" s="23"/>
      <c r="B77" s="24"/>
      <c r="C77" s="25"/>
      <c r="D77" s="25" t="s">
        <v>18</v>
      </c>
      <c r="E77" s="26">
        <f t="shared" si="2"/>
        <v>26.2</v>
      </c>
      <c r="F77" s="26"/>
      <c r="G77" s="27"/>
      <c r="H77" s="27"/>
      <c r="I77" s="26">
        <f>42.6-16.4</f>
        <v>26.2</v>
      </c>
      <c r="J77" s="25" t="s">
        <v>18</v>
      </c>
      <c r="K77" s="26">
        <f t="shared" si="3"/>
        <v>18.4469</v>
      </c>
      <c r="L77" s="26"/>
      <c r="M77" s="26"/>
      <c r="N77" s="26"/>
      <c r="O77" s="26">
        <f>12.11+4.93+2.42-1.214+0.2009</f>
        <v>18.4469</v>
      </c>
    </row>
    <row r="78" s="2" customFormat="1" ht="37.5" spans="1:15">
      <c r="A78" s="23">
        <v>40</v>
      </c>
      <c r="B78" s="24" t="s">
        <v>63</v>
      </c>
      <c r="C78" s="25" t="s">
        <v>32</v>
      </c>
      <c r="D78" s="25" t="s">
        <v>17</v>
      </c>
      <c r="E78" s="26">
        <f t="shared" si="2"/>
        <v>34.3</v>
      </c>
      <c r="F78" s="26">
        <v>14.7</v>
      </c>
      <c r="G78" s="27">
        <v>19.6</v>
      </c>
      <c r="H78" s="27"/>
      <c r="I78" s="28"/>
      <c r="J78" s="25" t="s">
        <v>17</v>
      </c>
      <c r="K78" s="26">
        <f t="shared" si="3"/>
        <v>34.3</v>
      </c>
      <c r="L78" s="26">
        <f>7.67+6.21+0.82</f>
        <v>14.7</v>
      </c>
      <c r="M78" s="26">
        <f>12.78-0.82+2.56+5+0.08</f>
        <v>19.6</v>
      </c>
      <c r="N78" s="26"/>
      <c r="O78" s="26"/>
    </row>
    <row r="79" s="2" customFormat="1" ht="45" customHeight="1" spans="1:15">
      <c r="A79" s="23"/>
      <c r="B79" s="24"/>
      <c r="C79" s="25"/>
      <c r="D79" s="25" t="s">
        <v>18</v>
      </c>
      <c r="E79" s="26">
        <f t="shared" si="2"/>
        <v>9.7</v>
      </c>
      <c r="F79" s="26"/>
      <c r="G79" s="27"/>
      <c r="H79" s="27"/>
      <c r="I79" s="26">
        <f>14.7-5</f>
        <v>9.7</v>
      </c>
      <c r="J79" s="25" t="s">
        <v>18</v>
      </c>
      <c r="K79" s="26">
        <f t="shared" si="3"/>
        <v>9.11</v>
      </c>
      <c r="L79" s="26"/>
      <c r="M79" s="26"/>
      <c r="N79" s="26"/>
      <c r="O79" s="26">
        <f>3.4-0.08+1.79+4</f>
        <v>9.11</v>
      </c>
    </row>
    <row r="80" s="2" customFormat="1" ht="37.5" spans="1:15">
      <c r="A80" s="23">
        <v>41</v>
      </c>
      <c r="B80" s="24" t="s">
        <v>64</v>
      </c>
      <c r="C80" s="25" t="s">
        <v>32</v>
      </c>
      <c r="D80" s="25" t="s">
        <v>17</v>
      </c>
      <c r="E80" s="26">
        <f t="shared" si="2"/>
        <v>24.5</v>
      </c>
      <c r="F80" s="26">
        <v>10.5</v>
      </c>
      <c r="G80" s="27">
        <v>14</v>
      </c>
      <c r="H80" s="27"/>
      <c r="I80" s="28"/>
      <c r="J80" s="25" t="s">
        <v>17</v>
      </c>
      <c r="K80" s="26">
        <f t="shared" si="3"/>
        <v>24.5</v>
      </c>
      <c r="L80" s="26">
        <f>5.88+3.65+0.97</f>
        <v>10.5</v>
      </c>
      <c r="M80" s="26">
        <f>9.8-0.97+1.96+2.42+0.79</f>
        <v>14</v>
      </c>
      <c r="N80" s="26"/>
      <c r="O80" s="26"/>
    </row>
    <row r="81" s="2" customFormat="1" ht="37.5" spans="1:15">
      <c r="A81" s="23"/>
      <c r="B81" s="24"/>
      <c r="C81" s="25"/>
      <c r="D81" s="25" t="s">
        <v>18</v>
      </c>
      <c r="E81" s="26">
        <f t="shared" si="2"/>
        <v>5.5</v>
      </c>
      <c r="F81" s="26"/>
      <c r="G81" s="27"/>
      <c r="H81" s="27"/>
      <c r="I81" s="26">
        <f>10.5-5</f>
        <v>5.5</v>
      </c>
      <c r="J81" s="25" t="s">
        <v>18</v>
      </c>
      <c r="K81" s="26">
        <f t="shared" si="3"/>
        <v>4.11</v>
      </c>
      <c r="L81" s="26"/>
      <c r="M81" s="26"/>
      <c r="N81" s="26"/>
      <c r="O81" s="26">
        <f>0.8+3.31</f>
        <v>4.11</v>
      </c>
    </row>
    <row r="82" s="2" customFormat="1" ht="37.5" spans="1:15">
      <c r="A82" s="23">
        <v>42</v>
      </c>
      <c r="B82" s="24" t="s">
        <v>65</v>
      </c>
      <c r="C82" s="25" t="s">
        <v>32</v>
      </c>
      <c r="D82" s="25" t="s">
        <v>17</v>
      </c>
      <c r="E82" s="26">
        <f t="shared" si="2"/>
        <v>17.5</v>
      </c>
      <c r="F82" s="26">
        <v>7.5</v>
      </c>
      <c r="G82" s="27">
        <v>10</v>
      </c>
      <c r="H82" s="27"/>
      <c r="I82" s="28"/>
      <c r="J82" s="25" t="s">
        <v>17</v>
      </c>
      <c r="K82" s="26">
        <f t="shared" si="3"/>
        <v>17.5</v>
      </c>
      <c r="L82" s="26">
        <f>0.27+2+4.377+0.853</f>
        <v>7.5</v>
      </c>
      <c r="M82" s="26">
        <f>3.34-0.853+0.36+0.67+0.77+0.18+5.533</f>
        <v>10</v>
      </c>
      <c r="N82" s="26"/>
      <c r="O82" s="26"/>
    </row>
    <row r="83" s="2" customFormat="1" ht="46" customHeight="1" spans="1:15">
      <c r="A83" s="23"/>
      <c r="B83" s="24"/>
      <c r="C83" s="25"/>
      <c r="D83" s="25" t="s">
        <v>18</v>
      </c>
      <c r="E83" s="26">
        <f t="shared" si="2"/>
        <v>3.5</v>
      </c>
      <c r="F83" s="26"/>
      <c r="G83" s="27"/>
      <c r="H83" s="27"/>
      <c r="I83" s="26">
        <f>7.5-4</f>
        <v>3.5</v>
      </c>
      <c r="J83" s="25" t="s">
        <v>18</v>
      </c>
      <c r="K83" s="26">
        <f t="shared" si="3"/>
        <v>2.86</v>
      </c>
      <c r="L83" s="26"/>
      <c r="M83" s="26"/>
      <c r="N83" s="26"/>
      <c r="O83" s="26">
        <f>2.327+0.47+0.063</f>
        <v>2.86</v>
      </c>
    </row>
    <row r="84" s="2" customFormat="1" ht="37.5" spans="1:15">
      <c r="A84" s="23">
        <v>43</v>
      </c>
      <c r="B84" s="24" t="s">
        <v>66</v>
      </c>
      <c r="C84" s="25" t="s">
        <v>32</v>
      </c>
      <c r="D84" s="25" t="s">
        <v>17</v>
      </c>
      <c r="E84" s="26">
        <f t="shared" si="2"/>
        <v>22.4</v>
      </c>
      <c r="F84" s="26">
        <v>9.6</v>
      </c>
      <c r="G84" s="27">
        <v>12.8</v>
      </c>
      <c r="H84" s="27"/>
      <c r="I84" s="28"/>
      <c r="J84" s="25" t="s">
        <v>17</v>
      </c>
      <c r="K84" s="26">
        <f t="shared" si="3"/>
        <v>22.4</v>
      </c>
      <c r="L84" s="26">
        <f>0.27+3.88+4.993+0.457</f>
        <v>9.6</v>
      </c>
      <c r="M84" s="26">
        <f>6.46-0.457+0.36+1.29+0.18+4.967</f>
        <v>12.8</v>
      </c>
      <c r="N84" s="26"/>
      <c r="O84" s="26"/>
    </row>
    <row r="85" s="2" customFormat="1" ht="47" customHeight="1" spans="1:15">
      <c r="A85" s="23"/>
      <c r="B85" s="24"/>
      <c r="C85" s="25"/>
      <c r="D85" s="25" t="s">
        <v>18</v>
      </c>
      <c r="E85" s="26">
        <f t="shared" si="2"/>
        <v>5.6</v>
      </c>
      <c r="F85" s="26"/>
      <c r="G85" s="27"/>
      <c r="H85" s="27"/>
      <c r="I85" s="26">
        <f>9.6-4</f>
        <v>5.6</v>
      </c>
      <c r="J85" s="25" t="s">
        <v>18</v>
      </c>
      <c r="K85" s="26">
        <f t="shared" si="3"/>
        <v>8.596</v>
      </c>
      <c r="L85" s="26"/>
      <c r="M85" s="26"/>
      <c r="N85" s="26"/>
      <c r="O85" s="26">
        <f>8.533+0.063</f>
        <v>8.596</v>
      </c>
    </row>
    <row r="86" s="2" customFormat="1" ht="36" customHeight="1" spans="1:15">
      <c r="A86" s="23">
        <v>44</v>
      </c>
      <c r="B86" s="24" t="s">
        <v>67</v>
      </c>
      <c r="C86" s="25" t="s">
        <v>32</v>
      </c>
      <c r="D86" s="25" t="s">
        <v>17</v>
      </c>
      <c r="E86" s="26">
        <f t="shared" si="2"/>
        <v>131.4</v>
      </c>
      <c r="F86" s="26">
        <v>48.6</v>
      </c>
      <c r="G86" s="27">
        <f>64.8+18</f>
        <v>82.8</v>
      </c>
      <c r="H86" s="27"/>
      <c r="I86" s="28"/>
      <c r="J86" s="25" t="s">
        <v>17</v>
      </c>
      <c r="K86" s="26">
        <f t="shared" si="3"/>
        <v>130.704</v>
      </c>
      <c r="L86" s="26">
        <f>42.88+5.71212+0.00788</f>
        <v>48.6</v>
      </c>
      <c r="M86" s="26">
        <f>0.88788+63.91212+12.46+1.6+3.244</f>
        <v>82.104</v>
      </c>
      <c r="N86" s="26"/>
      <c r="O86" s="26"/>
    </row>
    <row r="87" s="2" customFormat="1" ht="36" customHeight="1" spans="1:15">
      <c r="A87" s="23"/>
      <c r="B87" s="24"/>
      <c r="C87" s="25"/>
      <c r="D87" s="25" t="s">
        <v>33</v>
      </c>
      <c r="E87" s="26">
        <f t="shared" si="2"/>
        <v>20.3</v>
      </c>
      <c r="F87" s="26"/>
      <c r="G87" s="27"/>
      <c r="H87" s="27">
        <v>20.3</v>
      </c>
      <c r="I87" s="26"/>
      <c r="J87" s="25" t="s">
        <v>33</v>
      </c>
      <c r="K87" s="26">
        <f t="shared" si="3"/>
        <v>20.3</v>
      </c>
      <c r="L87" s="26"/>
      <c r="M87" s="26"/>
      <c r="N87" s="26">
        <f>14.3+6</f>
        <v>20.3</v>
      </c>
      <c r="O87" s="26"/>
    </row>
    <row r="88" s="2" customFormat="1" ht="48" customHeight="1" spans="1:15">
      <c r="A88" s="23"/>
      <c r="B88" s="24"/>
      <c r="C88" s="25"/>
      <c r="D88" s="25" t="s">
        <v>18</v>
      </c>
      <c r="E88" s="26">
        <f t="shared" si="2"/>
        <v>28.3</v>
      </c>
      <c r="F88" s="26"/>
      <c r="G88" s="27"/>
      <c r="H88" s="30"/>
      <c r="I88" s="26">
        <v>28.3</v>
      </c>
      <c r="J88" s="25" t="s">
        <v>18</v>
      </c>
      <c r="K88" s="26">
        <f t="shared" si="3"/>
        <v>23.18</v>
      </c>
      <c r="L88" s="26"/>
      <c r="M88" s="26"/>
      <c r="N88" s="26"/>
      <c r="O88" s="26">
        <f>7.56+5.62+10</f>
        <v>23.18</v>
      </c>
    </row>
    <row r="89" s="2" customFormat="1" ht="36" customHeight="1" spans="1:15">
      <c r="A89" s="23">
        <v>45</v>
      </c>
      <c r="B89" s="24" t="s">
        <v>68</v>
      </c>
      <c r="C89" s="25" t="s">
        <v>32</v>
      </c>
      <c r="D89" s="25" t="s">
        <v>17</v>
      </c>
      <c r="E89" s="26">
        <f t="shared" si="2"/>
        <v>80.5</v>
      </c>
      <c r="F89" s="26">
        <v>34.5</v>
      </c>
      <c r="G89" s="27">
        <v>46</v>
      </c>
      <c r="H89" s="27"/>
      <c r="I89" s="26"/>
      <c r="J89" s="25" t="s">
        <v>17</v>
      </c>
      <c r="K89" s="26">
        <f t="shared" si="3"/>
        <v>80.5</v>
      </c>
      <c r="L89" s="26">
        <f>25.569+4.82+3.037+1.074</f>
        <v>34.5</v>
      </c>
      <c r="M89" s="26">
        <f>8.02-1.074+34.092+1.6+3.362</f>
        <v>46</v>
      </c>
      <c r="N89" s="26"/>
      <c r="O89" s="26"/>
    </row>
    <row r="90" s="2" customFormat="1" ht="36" customHeight="1" spans="1:15">
      <c r="A90" s="23"/>
      <c r="B90" s="24"/>
      <c r="C90" s="25"/>
      <c r="D90" s="25" t="s">
        <v>33</v>
      </c>
      <c r="E90" s="26">
        <f t="shared" si="2"/>
        <v>2.618</v>
      </c>
      <c r="F90" s="26"/>
      <c r="G90" s="27"/>
      <c r="H90" s="27">
        <v>2.618</v>
      </c>
      <c r="I90" s="26"/>
      <c r="J90" s="25" t="s">
        <v>33</v>
      </c>
      <c r="K90" s="26">
        <f t="shared" si="3"/>
        <v>2.618</v>
      </c>
      <c r="L90" s="26"/>
      <c r="M90" s="26"/>
      <c r="N90" s="26">
        <f>2.618</f>
        <v>2.618</v>
      </c>
      <c r="O90" s="26"/>
    </row>
    <row r="91" s="2" customFormat="1" ht="42" customHeight="1" spans="1:15">
      <c r="A91" s="23"/>
      <c r="B91" s="24"/>
      <c r="C91" s="25"/>
      <c r="D91" s="25" t="s">
        <v>18</v>
      </c>
      <c r="E91" s="26">
        <f t="shared" si="2"/>
        <v>19.882</v>
      </c>
      <c r="F91" s="26"/>
      <c r="G91" s="27"/>
      <c r="H91" s="30"/>
      <c r="I91" s="26">
        <f>31.882-12</f>
        <v>19.882</v>
      </c>
      <c r="J91" s="25" t="s">
        <v>18</v>
      </c>
      <c r="K91" s="26">
        <f t="shared" si="3"/>
        <v>24.1321</v>
      </c>
      <c r="L91" s="26"/>
      <c r="M91" s="26"/>
      <c r="N91" s="26"/>
      <c r="O91" s="26">
        <f>17.046+1.12+5.9661</f>
        <v>24.1321</v>
      </c>
    </row>
    <row r="92" s="2" customFormat="1" ht="37.5" spans="1:15">
      <c r="A92" s="23">
        <v>46</v>
      </c>
      <c r="B92" s="24" t="s">
        <v>69</v>
      </c>
      <c r="C92" s="25" t="s">
        <v>32</v>
      </c>
      <c r="D92" s="25" t="s">
        <v>17</v>
      </c>
      <c r="E92" s="26">
        <f t="shared" si="2"/>
        <v>38.5</v>
      </c>
      <c r="F92" s="26">
        <v>16.5</v>
      </c>
      <c r="G92" s="27">
        <v>22</v>
      </c>
      <c r="H92" s="27"/>
      <c r="I92" s="28"/>
      <c r="J92" s="25" t="s">
        <v>17</v>
      </c>
      <c r="K92" s="26">
        <f t="shared" si="3"/>
        <v>38.5</v>
      </c>
      <c r="L92" s="26">
        <f>3.03+6.02+7.446521+0.003479</f>
        <v>16.5</v>
      </c>
      <c r="M92" s="26">
        <f>2.453479+10.04-0.003479+4.04+2.01+2.02+1.44</f>
        <v>22</v>
      </c>
      <c r="N92" s="26"/>
      <c r="O92" s="26"/>
    </row>
    <row r="93" s="2" customFormat="1" ht="37.5" spans="1:15">
      <c r="A93" s="23"/>
      <c r="B93" s="24"/>
      <c r="C93" s="25"/>
      <c r="D93" s="25" t="s">
        <v>18</v>
      </c>
      <c r="E93" s="26">
        <f t="shared" si="2"/>
        <v>16.44</v>
      </c>
      <c r="F93" s="26"/>
      <c r="G93" s="27"/>
      <c r="H93" s="27"/>
      <c r="I93" s="26">
        <v>16.44</v>
      </c>
      <c r="J93" s="25" t="s">
        <v>18</v>
      </c>
      <c r="K93" s="26">
        <f t="shared" si="3"/>
        <v>17.347</v>
      </c>
      <c r="L93" s="26"/>
      <c r="M93" s="26"/>
      <c r="N93" s="26"/>
      <c r="O93" s="26">
        <f>1.91+1.4+13.13+0.707+0.2</f>
        <v>17.347</v>
      </c>
    </row>
    <row r="94" s="2" customFormat="1" ht="37.5" spans="1:15">
      <c r="A94" s="23">
        <v>47</v>
      </c>
      <c r="B94" s="24" t="s">
        <v>70</v>
      </c>
      <c r="C94" s="25" t="s">
        <v>32</v>
      </c>
      <c r="D94" s="25" t="s">
        <v>17</v>
      </c>
      <c r="E94" s="26">
        <f t="shared" si="2"/>
        <v>59.5</v>
      </c>
      <c r="F94" s="26">
        <v>25.5</v>
      </c>
      <c r="G94" s="27">
        <v>34</v>
      </c>
      <c r="H94" s="27"/>
      <c r="I94" s="28"/>
      <c r="J94" s="25" t="s">
        <v>17</v>
      </c>
      <c r="K94" s="26">
        <f t="shared" si="3"/>
        <v>59.5</v>
      </c>
      <c r="L94" s="26">
        <f>16.72+8.777633+0.002367</f>
        <v>25.5</v>
      </c>
      <c r="M94" s="26">
        <f>2.042367+27.87-0.002367+4.09</f>
        <v>34</v>
      </c>
      <c r="N94" s="26"/>
      <c r="O94" s="26"/>
    </row>
    <row r="95" s="2" customFormat="1" ht="37.5" spans="1:15">
      <c r="A95" s="23"/>
      <c r="B95" s="24"/>
      <c r="C95" s="25"/>
      <c r="D95" s="25" t="s">
        <v>33</v>
      </c>
      <c r="E95" s="26">
        <f t="shared" si="2"/>
        <v>7.76</v>
      </c>
      <c r="F95" s="26"/>
      <c r="G95" s="27"/>
      <c r="H95" s="27">
        <v>7.76</v>
      </c>
      <c r="I95" s="26"/>
      <c r="J95" s="25" t="s">
        <v>33</v>
      </c>
      <c r="K95" s="26">
        <f t="shared" si="3"/>
        <v>7.76</v>
      </c>
      <c r="L95" s="26"/>
      <c r="M95" s="26"/>
      <c r="N95" s="26">
        <f>1.48+6.28</f>
        <v>7.76</v>
      </c>
      <c r="O95" s="26"/>
    </row>
    <row r="96" s="2" customFormat="1" ht="43" customHeight="1" spans="1:15">
      <c r="A96" s="23"/>
      <c r="B96" s="24"/>
      <c r="C96" s="25"/>
      <c r="D96" s="25" t="s">
        <v>18</v>
      </c>
      <c r="E96" s="26">
        <f t="shared" si="2"/>
        <v>8.74</v>
      </c>
      <c r="F96" s="26"/>
      <c r="G96" s="27"/>
      <c r="H96" s="30"/>
      <c r="I96" s="26">
        <f>17.74-9</f>
        <v>8.74</v>
      </c>
      <c r="J96" s="25" t="s">
        <v>18</v>
      </c>
      <c r="K96" s="26">
        <f t="shared" si="3"/>
        <v>14.056</v>
      </c>
      <c r="L96" s="26"/>
      <c r="M96" s="26"/>
      <c r="N96" s="26"/>
      <c r="O96" s="26">
        <f>4.29+0.8+8.966</f>
        <v>14.056</v>
      </c>
    </row>
    <row r="97" s="2" customFormat="1" ht="37.5" spans="1:15">
      <c r="A97" s="23">
        <v>48</v>
      </c>
      <c r="B97" s="24" t="s">
        <v>71</v>
      </c>
      <c r="C97" s="25" t="s">
        <v>32</v>
      </c>
      <c r="D97" s="25" t="s">
        <v>17</v>
      </c>
      <c r="E97" s="26">
        <v>0</v>
      </c>
      <c r="F97" s="26"/>
      <c r="G97" s="27"/>
      <c r="H97" s="30"/>
      <c r="I97" s="26"/>
      <c r="J97" s="25" t="s">
        <v>17</v>
      </c>
      <c r="K97" s="26">
        <f t="shared" si="3"/>
        <v>1.329408</v>
      </c>
      <c r="L97" s="26"/>
      <c r="M97" s="26">
        <v>1.329408</v>
      </c>
      <c r="N97" s="26"/>
      <c r="O97" s="26"/>
    </row>
    <row r="98" s="2" customFormat="1" ht="47" customHeight="1" spans="1:15">
      <c r="A98" s="23"/>
      <c r="B98" s="24"/>
      <c r="C98" s="25"/>
      <c r="D98" s="25" t="s">
        <v>18</v>
      </c>
      <c r="E98" s="26">
        <f t="shared" ref="E98:E121" si="4">F98+G98+H98+I98</f>
        <v>14.48</v>
      </c>
      <c r="F98" s="26"/>
      <c r="G98" s="27"/>
      <c r="H98" s="27"/>
      <c r="I98" s="26">
        <v>14.48</v>
      </c>
      <c r="J98" s="25" t="s">
        <v>18</v>
      </c>
      <c r="K98" s="26">
        <f t="shared" si="3"/>
        <v>12.85</v>
      </c>
      <c r="L98" s="26"/>
      <c r="M98" s="26"/>
      <c r="N98" s="26"/>
      <c r="O98" s="26">
        <f>9.75+3.1</f>
        <v>12.85</v>
      </c>
    </row>
    <row r="99" s="2" customFormat="1" ht="45" customHeight="1" spans="1:15">
      <c r="A99" s="23">
        <v>49</v>
      </c>
      <c r="B99" s="24" t="s">
        <v>72</v>
      </c>
      <c r="C99" s="25" t="s">
        <v>32</v>
      </c>
      <c r="D99" s="25" t="s">
        <v>33</v>
      </c>
      <c r="E99" s="26">
        <f t="shared" si="4"/>
        <v>10</v>
      </c>
      <c r="F99" s="26"/>
      <c r="G99" s="27"/>
      <c r="H99" s="27">
        <v>10</v>
      </c>
      <c r="I99" s="26"/>
      <c r="J99" s="25" t="s">
        <v>33</v>
      </c>
      <c r="K99" s="26">
        <f t="shared" si="3"/>
        <v>10</v>
      </c>
      <c r="L99" s="26"/>
      <c r="M99" s="26"/>
      <c r="N99" s="26">
        <v>10</v>
      </c>
      <c r="O99" s="26"/>
    </row>
    <row r="100" s="2" customFormat="1" ht="45" customHeight="1" spans="1:15">
      <c r="A100" s="23">
        <v>50</v>
      </c>
      <c r="B100" s="24" t="s">
        <v>73</v>
      </c>
      <c r="C100" s="25" t="s">
        <v>32</v>
      </c>
      <c r="D100" s="25" t="s">
        <v>33</v>
      </c>
      <c r="E100" s="26">
        <f t="shared" si="4"/>
        <v>10</v>
      </c>
      <c r="F100" s="26"/>
      <c r="G100" s="27"/>
      <c r="H100" s="27">
        <v>10</v>
      </c>
      <c r="I100" s="26"/>
      <c r="J100" s="25" t="s">
        <v>33</v>
      </c>
      <c r="K100" s="26">
        <f t="shared" si="3"/>
        <v>10</v>
      </c>
      <c r="L100" s="26"/>
      <c r="M100" s="26"/>
      <c r="N100" s="26">
        <v>10</v>
      </c>
      <c r="O100" s="26"/>
    </row>
    <row r="101" s="2" customFormat="1" ht="45" customHeight="1" spans="1:15">
      <c r="A101" s="23">
        <v>51</v>
      </c>
      <c r="B101" s="24" t="s">
        <v>74</v>
      </c>
      <c r="C101" s="25" t="s">
        <v>32</v>
      </c>
      <c r="D101" s="25" t="s">
        <v>33</v>
      </c>
      <c r="E101" s="26">
        <f t="shared" si="4"/>
        <v>10</v>
      </c>
      <c r="F101" s="26"/>
      <c r="G101" s="27"/>
      <c r="H101" s="27">
        <v>10</v>
      </c>
      <c r="I101" s="26"/>
      <c r="J101" s="25" t="s">
        <v>33</v>
      </c>
      <c r="K101" s="26">
        <f t="shared" si="3"/>
        <v>10</v>
      </c>
      <c r="L101" s="26"/>
      <c r="M101" s="26"/>
      <c r="N101" s="26">
        <v>10</v>
      </c>
      <c r="O101" s="26"/>
    </row>
    <row r="102" s="2" customFormat="1" ht="45" customHeight="1" spans="1:15">
      <c r="A102" s="23">
        <v>52</v>
      </c>
      <c r="B102" s="24" t="s">
        <v>75</v>
      </c>
      <c r="C102" s="25" t="s">
        <v>32</v>
      </c>
      <c r="D102" s="25" t="s">
        <v>33</v>
      </c>
      <c r="E102" s="26">
        <f t="shared" si="4"/>
        <v>10</v>
      </c>
      <c r="F102" s="26"/>
      <c r="G102" s="27"/>
      <c r="H102" s="27">
        <v>10</v>
      </c>
      <c r="I102" s="26"/>
      <c r="J102" s="25" t="s">
        <v>33</v>
      </c>
      <c r="K102" s="26">
        <f t="shared" si="3"/>
        <v>10</v>
      </c>
      <c r="L102" s="26"/>
      <c r="M102" s="26"/>
      <c r="N102" s="26">
        <v>10</v>
      </c>
      <c r="O102" s="26"/>
    </row>
    <row r="103" s="2" customFormat="1" ht="45" customHeight="1" spans="1:15">
      <c r="A103" s="23">
        <v>53</v>
      </c>
      <c r="B103" s="24" t="s">
        <v>76</v>
      </c>
      <c r="C103" s="25" t="s">
        <v>32</v>
      </c>
      <c r="D103" s="25" t="s">
        <v>33</v>
      </c>
      <c r="E103" s="26">
        <f t="shared" si="4"/>
        <v>10</v>
      </c>
      <c r="F103" s="26"/>
      <c r="G103" s="27"/>
      <c r="H103" s="27">
        <v>10</v>
      </c>
      <c r="I103" s="26"/>
      <c r="J103" s="25" t="s">
        <v>33</v>
      </c>
      <c r="K103" s="26">
        <f t="shared" si="3"/>
        <v>10</v>
      </c>
      <c r="L103" s="26"/>
      <c r="M103" s="26"/>
      <c r="N103" s="26">
        <v>10</v>
      </c>
      <c r="O103" s="26"/>
    </row>
    <row r="104" s="2" customFormat="1" ht="45" customHeight="1" spans="1:15">
      <c r="A104" s="23">
        <v>54</v>
      </c>
      <c r="B104" s="24" t="s">
        <v>77</v>
      </c>
      <c r="C104" s="25" t="s">
        <v>32</v>
      </c>
      <c r="D104" s="25" t="s">
        <v>33</v>
      </c>
      <c r="E104" s="26">
        <f t="shared" si="4"/>
        <v>10</v>
      </c>
      <c r="F104" s="26"/>
      <c r="G104" s="27"/>
      <c r="H104" s="27">
        <v>10</v>
      </c>
      <c r="I104" s="26"/>
      <c r="J104" s="25" t="s">
        <v>33</v>
      </c>
      <c r="K104" s="26">
        <f t="shared" si="3"/>
        <v>10</v>
      </c>
      <c r="L104" s="26"/>
      <c r="M104" s="26"/>
      <c r="N104" s="26">
        <v>10</v>
      </c>
      <c r="O104" s="26"/>
    </row>
    <row r="105" s="2" customFormat="1" ht="45" customHeight="1" spans="1:15">
      <c r="A105" s="23">
        <v>55</v>
      </c>
      <c r="B105" s="24" t="s">
        <v>78</v>
      </c>
      <c r="C105" s="25" t="s">
        <v>32</v>
      </c>
      <c r="D105" s="25" t="s">
        <v>33</v>
      </c>
      <c r="E105" s="26">
        <f t="shared" si="4"/>
        <v>10</v>
      </c>
      <c r="F105" s="26"/>
      <c r="G105" s="27"/>
      <c r="H105" s="27">
        <v>10</v>
      </c>
      <c r="I105" s="26"/>
      <c r="J105" s="25" t="s">
        <v>33</v>
      </c>
      <c r="K105" s="26">
        <f t="shared" si="3"/>
        <v>10</v>
      </c>
      <c r="L105" s="26"/>
      <c r="M105" s="26"/>
      <c r="N105" s="26">
        <v>10</v>
      </c>
      <c r="O105" s="26"/>
    </row>
    <row r="106" s="2" customFormat="1" ht="45" customHeight="1" spans="1:15">
      <c r="A106" s="23">
        <v>56</v>
      </c>
      <c r="B106" s="24" t="s">
        <v>79</v>
      </c>
      <c r="C106" s="25" t="s">
        <v>32</v>
      </c>
      <c r="D106" s="25" t="s">
        <v>33</v>
      </c>
      <c r="E106" s="26">
        <f t="shared" si="4"/>
        <v>10</v>
      </c>
      <c r="F106" s="26"/>
      <c r="G106" s="27"/>
      <c r="H106" s="27">
        <v>10</v>
      </c>
      <c r="I106" s="26"/>
      <c r="J106" s="25" t="s">
        <v>33</v>
      </c>
      <c r="K106" s="26">
        <f t="shared" si="3"/>
        <v>10</v>
      </c>
      <c r="L106" s="26"/>
      <c r="M106" s="26"/>
      <c r="N106" s="26">
        <v>10</v>
      </c>
      <c r="O106" s="26"/>
    </row>
    <row r="107" s="2" customFormat="1" ht="45" customHeight="1" spans="1:15">
      <c r="A107" s="23">
        <v>57</v>
      </c>
      <c r="B107" s="24" t="s">
        <v>80</v>
      </c>
      <c r="C107" s="25" t="s">
        <v>32</v>
      </c>
      <c r="D107" s="25" t="s">
        <v>33</v>
      </c>
      <c r="E107" s="26">
        <f t="shared" si="4"/>
        <v>10</v>
      </c>
      <c r="F107" s="26"/>
      <c r="G107" s="27"/>
      <c r="H107" s="27">
        <v>10</v>
      </c>
      <c r="I107" s="26"/>
      <c r="J107" s="25" t="s">
        <v>33</v>
      </c>
      <c r="K107" s="26">
        <f t="shared" si="3"/>
        <v>10</v>
      </c>
      <c r="L107" s="26"/>
      <c r="M107" s="26"/>
      <c r="N107" s="26">
        <v>10</v>
      </c>
      <c r="O107" s="26"/>
    </row>
    <row r="108" s="2" customFormat="1" ht="45" customHeight="1" spans="1:15">
      <c r="A108" s="23">
        <v>58</v>
      </c>
      <c r="B108" s="24" t="s">
        <v>81</v>
      </c>
      <c r="C108" s="25" t="s">
        <v>32</v>
      </c>
      <c r="D108" s="25" t="s">
        <v>33</v>
      </c>
      <c r="E108" s="26">
        <f t="shared" si="4"/>
        <v>10</v>
      </c>
      <c r="F108" s="26"/>
      <c r="G108" s="27"/>
      <c r="H108" s="27">
        <v>10</v>
      </c>
      <c r="I108" s="26"/>
      <c r="J108" s="25" t="s">
        <v>33</v>
      </c>
      <c r="K108" s="26">
        <f t="shared" si="3"/>
        <v>10</v>
      </c>
      <c r="L108" s="26"/>
      <c r="M108" s="26"/>
      <c r="N108" s="26">
        <v>10</v>
      </c>
      <c r="O108" s="26"/>
    </row>
    <row r="109" s="2" customFormat="1" ht="45" customHeight="1" spans="1:15">
      <c r="A109" s="23">
        <v>59</v>
      </c>
      <c r="B109" s="24" t="s">
        <v>82</v>
      </c>
      <c r="C109" s="25" t="s">
        <v>32</v>
      </c>
      <c r="D109" s="25" t="s">
        <v>33</v>
      </c>
      <c r="E109" s="26">
        <f t="shared" si="4"/>
        <v>10</v>
      </c>
      <c r="F109" s="26"/>
      <c r="G109" s="27"/>
      <c r="H109" s="27">
        <v>10</v>
      </c>
      <c r="I109" s="26"/>
      <c r="J109" s="25" t="s">
        <v>33</v>
      </c>
      <c r="K109" s="26">
        <f t="shared" si="3"/>
        <v>10</v>
      </c>
      <c r="L109" s="26"/>
      <c r="M109" s="26"/>
      <c r="N109" s="26">
        <v>10</v>
      </c>
      <c r="O109" s="26"/>
    </row>
    <row r="110" s="2" customFormat="1" ht="45" customHeight="1" spans="1:15">
      <c r="A110" s="23">
        <v>60</v>
      </c>
      <c r="B110" s="24" t="s">
        <v>83</v>
      </c>
      <c r="C110" s="25" t="s">
        <v>32</v>
      </c>
      <c r="D110" s="25" t="s">
        <v>33</v>
      </c>
      <c r="E110" s="26">
        <f t="shared" si="4"/>
        <v>10</v>
      </c>
      <c r="F110" s="26"/>
      <c r="G110" s="27"/>
      <c r="H110" s="27">
        <v>10</v>
      </c>
      <c r="I110" s="26"/>
      <c r="J110" s="25" t="s">
        <v>33</v>
      </c>
      <c r="K110" s="26">
        <f t="shared" si="3"/>
        <v>10</v>
      </c>
      <c r="L110" s="26"/>
      <c r="M110" s="26"/>
      <c r="N110" s="26">
        <v>10</v>
      </c>
      <c r="O110" s="26"/>
    </row>
    <row r="111" s="2" customFormat="1" ht="45" customHeight="1" spans="1:15">
      <c r="A111" s="23">
        <v>61</v>
      </c>
      <c r="B111" s="24" t="s">
        <v>84</v>
      </c>
      <c r="C111" s="25" t="s">
        <v>32</v>
      </c>
      <c r="D111" s="25" t="s">
        <v>33</v>
      </c>
      <c r="E111" s="26">
        <f t="shared" si="4"/>
        <v>10</v>
      </c>
      <c r="F111" s="26"/>
      <c r="G111" s="27"/>
      <c r="H111" s="27">
        <v>10</v>
      </c>
      <c r="I111" s="26"/>
      <c r="J111" s="25" t="s">
        <v>33</v>
      </c>
      <c r="K111" s="26">
        <f t="shared" si="3"/>
        <v>10</v>
      </c>
      <c r="L111" s="26"/>
      <c r="M111" s="26"/>
      <c r="N111" s="26">
        <v>10</v>
      </c>
      <c r="O111" s="26"/>
    </row>
    <row r="112" s="2" customFormat="1" ht="44" customHeight="1" spans="1:15">
      <c r="A112" s="23">
        <v>62</v>
      </c>
      <c r="B112" s="24" t="s">
        <v>85</v>
      </c>
      <c r="C112" s="25" t="s">
        <v>16</v>
      </c>
      <c r="D112" s="25" t="s">
        <v>17</v>
      </c>
      <c r="E112" s="26">
        <f t="shared" si="4"/>
        <v>300</v>
      </c>
      <c r="F112" s="26">
        <v>120</v>
      </c>
      <c r="G112" s="27">
        <v>180</v>
      </c>
      <c r="H112" s="27"/>
      <c r="I112" s="28"/>
      <c r="J112" s="25" t="s">
        <v>17</v>
      </c>
      <c r="K112" s="26">
        <f t="shared" si="3"/>
        <v>300.552458</v>
      </c>
      <c r="L112" s="26">
        <f>12.9735+11.88+5.94+19.8+9.9+21.6225+5.5333+32.3507</f>
        <v>120</v>
      </c>
      <c r="M112" s="26">
        <f>59.9154+1.44+118.6446+0.552458</f>
        <v>180.552458</v>
      </c>
      <c r="N112" s="26"/>
      <c r="O112" s="26"/>
    </row>
    <row r="113" s="2" customFormat="1" ht="42" customHeight="1" spans="1:219">
      <c r="A113" s="23"/>
      <c r="B113" s="24"/>
      <c r="C113" s="25"/>
      <c r="D113" s="25" t="s">
        <v>49</v>
      </c>
      <c r="E113" s="26">
        <f t="shared" si="4"/>
        <v>40</v>
      </c>
      <c r="F113" s="26"/>
      <c r="G113" s="27">
        <v>40</v>
      </c>
      <c r="H113" s="27"/>
      <c r="I113" s="28"/>
      <c r="J113" s="25" t="s">
        <v>49</v>
      </c>
      <c r="K113" s="26">
        <f t="shared" si="3"/>
        <v>38.897899</v>
      </c>
      <c r="L113" s="26"/>
      <c r="M113" s="26">
        <f>3.96+29.064+5.873899</f>
        <v>38.897899</v>
      </c>
      <c r="N113" s="26"/>
      <c r="O113" s="26"/>
    </row>
    <row r="114" s="2" customFormat="1" ht="45" customHeight="1" spans="1:219">
      <c r="A114" s="23"/>
      <c r="B114" s="24"/>
      <c r="C114" s="25"/>
      <c r="D114" s="25" t="s">
        <v>18</v>
      </c>
      <c r="E114" s="26">
        <f t="shared" si="4"/>
        <v>65</v>
      </c>
      <c r="F114" s="26"/>
      <c r="G114" s="27"/>
      <c r="H114" s="27"/>
      <c r="I114" s="26">
        <f>100-35</f>
        <v>65</v>
      </c>
      <c r="J114" s="25" t="s">
        <v>18</v>
      </c>
      <c r="K114" s="26">
        <f t="shared" si="3"/>
        <v>61.5169</v>
      </c>
      <c r="L114" s="26"/>
      <c r="M114" s="26"/>
      <c r="N114" s="26"/>
      <c r="O114" s="26">
        <f>35.1323+7.92+8.649+6.4556+3.36</f>
        <v>61.5169</v>
      </c>
    </row>
    <row r="115" s="2" customFormat="1" ht="48" customHeight="1" spans="1:219">
      <c r="A115" s="23">
        <v>63</v>
      </c>
      <c r="B115" s="24" t="s">
        <v>86</v>
      </c>
      <c r="C115" s="25" t="s">
        <v>16</v>
      </c>
      <c r="D115" s="25" t="s">
        <v>17</v>
      </c>
      <c r="E115" s="26">
        <f t="shared" si="4"/>
        <v>170</v>
      </c>
      <c r="F115" s="26">
        <v>140</v>
      </c>
      <c r="G115" s="27">
        <v>30</v>
      </c>
      <c r="H115" s="27"/>
      <c r="I115" s="26"/>
      <c r="J115" s="25" t="s">
        <v>17</v>
      </c>
      <c r="K115" s="26">
        <f t="shared" si="3"/>
        <v>161.081125</v>
      </c>
      <c r="L115" s="26">
        <f>11.2146+8.94+10.8256+26.1674+20.86+17.394+28.99+4.0069+6.6781+2.154915</f>
        <v>137.231515</v>
      </c>
      <c r="M115" s="26">
        <f>5.3257+8.8762+3.5506+5.7+0.39711</f>
        <v>23.84961</v>
      </c>
      <c r="N115" s="26"/>
      <c r="O115" s="26"/>
    </row>
    <row r="116" s="2" customFormat="1" ht="36" customHeight="1" spans="1:219">
      <c r="A116" s="23">
        <v>64</v>
      </c>
      <c r="B116" s="24" t="s">
        <v>87</v>
      </c>
      <c r="C116" s="25" t="s">
        <v>16</v>
      </c>
      <c r="D116" s="25" t="s">
        <v>17</v>
      </c>
      <c r="E116" s="26">
        <f t="shared" si="4"/>
        <v>200</v>
      </c>
      <c r="F116" s="26">
        <v>170</v>
      </c>
      <c r="G116" s="27">
        <v>30</v>
      </c>
      <c r="H116" s="27"/>
      <c r="I116" s="28"/>
      <c r="J116" s="25" t="s">
        <v>17</v>
      </c>
      <c r="K116" s="26">
        <f t="shared" si="3"/>
        <v>200.527517</v>
      </c>
      <c r="L116" s="26">
        <f>1.4871+7.788+10.875+13.845+1.65+23.075+18.125+25.4922+5.2988+33.8803+28.4836</f>
        <v>170</v>
      </c>
      <c r="M116" s="26">
        <f>7.25+9.23+8.8313+4.6887+0.527517</f>
        <v>30.527517</v>
      </c>
      <c r="N116" s="26"/>
      <c r="O116" s="26"/>
    </row>
    <row r="117" s="2" customFormat="1" ht="36" customHeight="1" spans="1:219">
      <c r="A117" s="23"/>
      <c r="B117" s="24"/>
      <c r="C117" s="25"/>
      <c r="D117" s="25" t="s">
        <v>49</v>
      </c>
      <c r="E117" s="26">
        <f t="shared" si="4"/>
        <v>71.8879</v>
      </c>
      <c r="F117" s="26"/>
      <c r="G117" s="27">
        <f>100-28.1121</f>
        <v>71.8879</v>
      </c>
      <c r="H117" s="27"/>
      <c r="I117" s="28"/>
      <c r="J117" s="25" t="s">
        <v>49</v>
      </c>
      <c r="K117" s="26">
        <f t="shared" si="3"/>
        <v>71.8879</v>
      </c>
      <c r="L117" s="26"/>
      <c r="M117" s="26">
        <f>11.2+2.926267+29.4366+28.325033</f>
        <v>71.8879</v>
      </c>
      <c r="N117" s="26"/>
      <c r="O117" s="26"/>
    </row>
    <row r="118" s="2" customFormat="1" ht="42" customHeight="1" spans="1:219">
      <c r="A118" s="23"/>
      <c r="B118" s="24"/>
      <c r="C118" s="25"/>
      <c r="D118" s="25" t="s">
        <v>18</v>
      </c>
      <c r="E118" s="26">
        <f t="shared" si="4"/>
        <v>50</v>
      </c>
      <c r="F118" s="26"/>
      <c r="G118" s="27"/>
      <c r="H118" s="27"/>
      <c r="I118" s="26">
        <f>60-10</f>
        <v>50</v>
      </c>
      <c r="J118" s="25" t="s">
        <v>18</v>
      </c>
      <c r="K118" s="26">
        <f t="shared" si="3"/>
        <v>57.103167</v>
      </c>
      <c r="L118" s="26"/>
      <c r="M118" s="26"/>
      <c r="N118" s="26"/>
      <c r="O118" s="26">
        <f>23.295+20.735967+3.26+9.8122</f>
        <v>57.103167</v>
      </c>
    </row>
    <row r="119" s="2" customFormat="1" ht="54" customHeight="1" spans="1:219">
      <c r="A119" s="23">
        <v>65</v>
      </c>
      <c r="B119" s="24" t="s">
        <v>88</v>
      </c>
      <c r="C119" s="25" t="s">
        <v>16</v>
      </c>
      <c r="D119" s="25" t="s">
        <v>17</v>
      </c>
      <c r="E119" s="26">
        <f t="shared" si="4"/>
        <v>80</v>
      </c>
      <c r="F119" s="26">
        <v>80</v>
      </c>
      <c r="G119" s="27"/>
      <c r="H119" s="27"/>
      <c r="I119" s="26"/>
      <c r="J119" s="25" t="s">
        <v>17</v>
      </c>
      <c r="K119" s="26">
        <f t="shared" si="3"/>
        <v>80</v>
      </c>
      <c r="L119" s="26">
        <f>13.824+16.32+17.6+32.256</f>
        <v>80</v>
      </c>
      <c r="M119" s="26"/>
      <c r="N119" s="26"/>
      <c r="O119" s="26"/>
    </row>
    <row r="120" s="2" customFormat="1" ht="69" customHeight="1" spans="1:219">
      <c r="A120" s="23">
        <v>66</v>
      </c>
      <c r="B120" s="24" t="s">
        <v>89</v>
      </c>
      <c r="C120" s="25" t="s">
        <v>32</v>
      </c>
      <c r="D120" s="25" t="s">
        <v>17</v>
      </c>
      <c r="E120" s="26">
        <f t="shared" si="4"/>
        <v>11.190739</v>
      </c>
      <c r="F120" s="26">
        <v>11.190739</v>
      </c>
      <c r="G120" s="27"/>
      <c r="H120" s="27"/>
      <c r="I120" s="26"/>
      <c r="J120" s="25" t="s">
        <v>17</v>
      </c>
      <c r="K120" s="26">
        <f t="shared" si="3"/>
        <v>11.536844</v>
      </c>
      <c r="L120" s="26">
        <f>3.0947+5.156286+2.939753</f>
        <v>11.190739</v>
      </c>
      <c r="M120" s="26">
        <v>0.346105</v>
      </c>
      <c r="N120" s="26"/>
      <c r="O120" s="26"/>
    </row>
    <row r="121" s="2" customFormat="1" ht="37.5" spans="1:219">
      <c r="A121" s="31">
        <v>67</v>
      </c>
      <c r="B121" s="32" t="s">
        <v>90</v>
      </c>
      <c r="C121" s="33" t="s">
        <v>32</v>
      </c>
      <c r="D121" s="25" t="s">
        <v>18</v>
      </c>
      <c r="E121" s="26">
        <f t="shared" si="4"/>
        <v>10</v>
      </c>
      <c r="F121" s="26"/>
      <c r="G121" s="27"/>
      <c r="H121" s="27"/>
      <c r="I121" s="26">
        <v>10</v>
      </c>
      <c r="J121" s="25" t="s">
        <v>18</v>
      </c>
      <c r="K121" s="26">
        <f t="shared" si="3"/>
        <v>9.705283</v>
      </c>
      <c r="L121" s="26"/>
      <c r="M121" s="26"/>
      <c r="N121" s="26"/>
      <c r="O121" s="26">
        <f>2.4489+4.0816+1.274783+0.57+1.33</f>
        <v>9.705283</v>
      </c>
    </row>
    <row r="122" s="2" customFormat="1" ht="37.5" spans="1:219">
      <c r="A122" s="37"/>
      <c r="B122" s="38"/>
      <c r="C122" s="39"/>
      <c r="D122" s="25" t="s">
        <v>17</v>
      </c>
      <c r="E122" s="26">
        <v>0</v>
      </c>
      <c r="F122" s="26"/>
      <c r="G122" s="27"/>
      <c r="H122" s="27"/>
      <c r="I122" s="26"/>
      <c r="J122" s="25" t="s">
        <v>17</v>
      </c>
      <c r="K122" s="26">
        <f t="shared" si="3"/>
        <v>0.241401</v>
      </c>
      <c r="L122" s="26"/>
      <c r="M122" s="26">
        <v>0.241401</v>
      </c>
      <c r="N122" s="26"/>
      <c r="O122" s="26"/>
    </row>
    <row r="123" s="2" customFormat="1" ht="37.5" spans="1:219">
      <c r="A123" s="31">
        <v>68</v>
      </c>
      <c r="B123" s="32" t="s">
        <v>91</v>
      </c>
      <c r="C123" s="33" t="s">
        <v>32</v>
      </c>
      <c r="D123" s="25" t="s">
        <v>18</v>
      </c>
      <c r="E123" s="26">
        <f t="shared" ref="E123:E127" si="5">F123+G123+H123+I123</f>
        <v>10</v>
      </c>
      <c r="F123" s="26"/>
      <c r="G123" s="27"/>
      <c r="H123" s="27"/>
      <c r="I123" s="26">
        <v>10</v>
      </c>
      <c r="J123" s="25" t="s">
        <v>18</v>
      </c>
      <c r="K123" s="26">
        <f t="shared" si="3"/>
        <v>9.536805</v>
      </c>
      <c r="L123" s="26"/>
      <c r="M123" s="26"/>
      <c r="N123" s="26"/>
      <c r="O123" s="26">
        <f>2.9612+4.9354+0.985205+0.1965+0.4585</f>
        <v>9.536805</v>
      </c>
    </row>
    <row r="124" s="2" customFormat="1" ht="37.5" spans="1:219">
      <c r="A124" s="37"/>
      <c r="B124" s="38"/>
      <c r="C124" s="39"/>
      <c r="D124" s="25" t="s">
        <v>17</v>
      </c>
      <c r="E124" s="26">
        <v>0</v>
      </c>
      <c r="F124" s="26"/>
      <c r="G124" s="27"/>
      <c r="H124" s="27"/>
      <c r="I124" s="26"/>
      <c r="J124" s="25" t="s">
        <v>17</v>
      </c>
      <c r="K124" s="26">
        <f t="shared" si="3"/>
        <v>0.274695</v>
      </c>
      <c r="L124" s="26"/>
      <c r="M124" s="26">
        <v>0.274695</v>
      </c>
      <c r="N124" s="26"/>
      <c r="O124" s="26"/>
    </row>
    <row r="125" s="2" customFormat="1" ht="37.5" spans="1:219">
      <c r="A125" s="31">
        <v>69</v>
      </c>
      <c r="B125" s="32" t="s">
        <v>92</v>
      </c>
      <c r="C125" s="33" t="s">
        <v>32</v>
      </c>
      <c r="D125" s="25" t="s">
        <v>18</v>
      </c>
      <c r="E125" s="26">
        <f t="shared" si="5"/>
        <v>10</v>
      </c>
      <c r="F125" s="26"/>
      <c r="G125" s="27"/>
      <c r="H125" s="27"/>
      <c r="I125" s="26">
        <v>10</v>
      </c>
      <c r="J125" s="25" t="s">
        <v>18</v>
      </c>
      <c r="K125" s="26">
        <f t="shared" si="3"/>
        <v>9.83255</v>
      </c>
      <c r="L125" s="26"/>
      <c r="M125" s="26"/>
      <c r="N125" s="26"/>
      <c r="O125" s="26">
        <f>1.5732+2.622+1.18235+1.3365+3.1185</f>
        <v>9.83255</v>
      </c>
    </row>
    <row r="126" s="2" customFormat="1" ht="37.5" spans="1:219">
      <c r="A126" s="37"/>
      <c r="B126" s="38"/>
      <c r="C126" s="39"/>
      <c r="D126" s="25" t="s">
        <v>17</v>
      </c>
      <c r="E126" s="26">
        <v>0</v>
      </c>
      <c r="F126" s="26"/>
      <c r="G126" s="27"/>
      <c r="H126" s="27"/>
      <c r="I126" s="26"/>
      <c r="J126" s="25" t="s">
        <v>17</v>
      </c>
      <c r="K126" s="26">
        <f t="shared" si="3"/>
        <v>0.166317</v>
      </c>
      <c r="L126" s="26"/>
      <c r="M126" s="26">
        <v>0.166317</v>
      </c>
      <c r="N126" s="26"/>
      <c r="O126" s="26"/>
    </row>
    <row r="127" s="2" customFormat="1" ht="37.5" spans="1:219">
      <c r="A127" s="31">
        <v>70</v>
      </c>
      <c r="B127" s="32" t="s">
        <v>93</v>
      </c>
      <c r="C127" s="33" t="s">
        <v>94</v>
      </c>
      <c r="D127" s="25" t="s">
        <v>18</v>
      </c>
      <c r="E127" s="26">
        <f t="shared" si="5"/>
        <v>20</v>
      </c>
      <c r="F127" s="26"/>
      <c r="G127" s="27"/>
      <c r="H127" s="27"/>
      <c r="I127" s="26">
        <v>20</v>
      </c>
      <c r="J127" s="25" t="s">
        <v>18</v>
      </c>
      <c r="K127" s="26">
        <f t="shared" si="3"/>
        <v>20.928674</v>
      </c>
      <c r="L127" s="26"/>
      <c r="M127" s="26"/>
      <c r="N127" s="26"/>
      <c r="O127" s="26">
        <f>2.110343+3.1553+1.866+5.2588+3.476231+1.33+3.732</f>
        <v>20.928674</v>
      </c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</row>
    <row r="128" s="2" customFormat="1" ht="37.5" spans="1:219">
      <c r="A128" s="37"/>
      <c r="B128" s="38"/>
      <c r="C128" s="39"/>
      <c r="D128" s="25" t="s">
        <v>17</v>
      </c>
      <c r="E128" s="26">
        <v>0</v>
      </c>
      <c r="F128" s="26"/>
      <c r="G128" s="27"/>
      <c r="H128" s="27"/>
      <c r="I128" s="26"/>
      <c r="J128" s="25" t="s">
        <v>17</v>
      </c>
      <c r="K128" s="26">
        <f t="shared" si="3"/>
        <v>0.367743</v>
      </c>
      <c r="L128" s="26"/>
      <c r="M128" s="26">
        <v>0.367743</v>
      </c>
      <c r="N128" s="26"/>
      <c r="O128" s="26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</row>
    <row r="129" s="2" customFormat="1" ht="56" customHeight="1" spans="1:219">
      <c r="A129" s="23">
        <v>71</v>
      </c>
      <c r="B129" s="24" t="s">
        <v>95</v>
      </c>
      <c r="C129" s="25" t="s">
        <v>16</v>
      </c>
      <c r="D129" s="25" t="s">
        <v>18</v>
      </c>
      <c r="E129" s="26">
        <f t="shared" ref="E129:E131" si="6">F129+G129+H129+I129</f>
        <v>10</v>
      </c>
      <c r="F129" s="26"/>
      <c r="G129" s="27"/>
      <c r="H129" s="27"/>
      <c r="I129" s="26">
        <v>10</v>
      </c>
      <c r="J129" s="25" t="s">
        <v>18</v>
      </c>
      <c r="K129" s="26">
        <f t="shared" si="3"/>
        <v>9.788185</v>
      </c>
      <c r="L129" s="26"/>
      <c r="M129" s="26"/>
      <c r="N129" s="26"/>
      <c r="O129" s="26">
        <f>2.943+6.845185</f>
        <v>9.788185</v>
      </c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</row>
    <row r="130" s="2" customFormat="1" ht="65" customHeight="1" spans="1:219">
      <c r="A130" s="23">
        <v>72</v>
      </c>
      <c r="B130" s="24" t="s">
        <v>96</v>
      </c>
      <c r="C130" s="25" t="s">
        <v>16</v>
      </c>
      <c r="D130" s="25" t="s">
        <v>18</v>
      </c>
      <c r="E130" s="26">
        <f t="shared" si="6"/>
        <v>50</v>
      </c>
      <c r="F130" s="26"/>
      <c r="G130" s="27"/>
      <c r="H130" s="27"/>
      <c r="I130" s="26">
        <v>50</v>
      </c>
      <c r="J130" s="25" t="s">
        <v>18</v>
      </c>
      <c r="K130" s="26">
        <f t="shared" si="3"/>
        <v>45.4541</v>
      </c>
      <c r="L130" s="26"/>
      <c r="M130" s="26"/>
      <c r="N130" s="26"/>
      <c r="O130" s="26">
        <f>15.1514+25.2523+5.0504</f>
        <v>45.4541</v>
      </c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</row>
    <row r="131" s="2" customFormat="1" ht="37.5" spans="1:219">
      <c r="A131" s="31">
        <v>73</v>
      </c>
      <c r="B131" s="32" t="s">
        <v>97</v>
      </c>
      <c r="C131" s="33" t="s">
        <v>16</v>
      </c>
      <c r="D131" s="25" t="s">
        <v>33</v>
      </c>
      <c r="E131" s="26">
        <f t="shared" si="6"/>
        <v>20</v>
      </c>
      <c r="F131" s="26"/>
      <c r="G131" s="27"/>
      <c r="H131" s="27">
        <v>20</v>
      </c>
      <c r="I131" s="26"/>
      <c r="J131" s="25" t="s">
        <v>33</v>
      </c>
      <c r="K131" s="26">
        <f t="shared" si="3"/>
        <v>15.3357</v>
      </c>
      <c r="L131" s="26"/>
      <c r="M131" s="26"/>
      <c r="N131" s="26">
        <f>5.7509+9.5848</f>
        <v>15.3357</v>
      </c>
      <c r="O131" s="26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</row>
    <row r="132" s="2" customFormat="1" ht="37.5" spans="1:219">
      <c r="A132" s="37"/>
      <c r="B132" s="38"/>
      <c r="C132" s="39"/>
      <c r="D132" s="25" t="s">
        <v>17</v>
      </c>
      <c r="E132" s="26">
        <v>0</v>
      </c>
      <c r="F132" s="26"/>
      <c r="G132" s="27"/>
      <c r="H132" s="27"/>
      <c r="I132" s="26"/>
      <c r="J132" s="25" t="s">
        <v>17</v>
      </c>
      <c r="K132" s="26">
        <f t="shared" si="3"/>
        <v>0.41168</v>
      </c>
      <c r="L132" s="26"/>
      <c r="M132" s="26">
        <v>0.41168</v>
      </c>
      <c r="N132" s="26"/>
      <c r="O132" s="26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</row>
    <row r="133" s="2" customFormat="1" ht="37.5" spans="1:219">
      <c r="A133" s="31">
        <v>74</v>
      </c>
      <c r="B133" s="24" t="s">
        <v>98</v>
      </c>
      <c r="C133" s="25" t="s">
        <v>32</v>
      </c>
      <c r="D133" s="25" t="s">
        <v>18</v>
      </c>
      <c r="E133" s="26">
        <f t="shared" ref="E133:E136" si="7">F133+G133+H133+I133</f>
        <v>50</v>
      </c>
      <c r="F133" s="26"/>
      <c r="G133" s="27"/>
      <c r="H133" s="27"/>
      <c r="I133" s="26">
        <v>50</v>
      </c>
      <c r="J133" s="25" t="s">
        <v>18</v>
      </c>
      <c r="K133" s="26">
        <f t="shared" si="3"/>
        <v>12.2431</v>
      </c>
      <c r="L133" s="26"/>
      <c r="M133" s="26"/>
      <c r="N133" s="26"/>
      <c r="O133" s="26">
        <f>12.2431</f>
        <v>12.2431</v>
      </c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</row>
    <row r="134" s="2" customFormat="1" ht="43" customHeight="1" spans="1:219">
      <c r="A134" s="37"/>
      <c r="B134" s="24"/>
      <c r="C134" s="25"/>
      <c r="D134" s="25" t="s">
        <v>17</v>
      </c>
      <c r="E134" s="26">
        <f t="shared" si="7"/>
        <v>0</v>
      </c>
      <c r="F134" s="26"/>
      <c r="G134" s="27"/>
      <c r="H134" s="27"/>
      <c r="I134" s="26"/>
      <c r="J134" s="25" t="s">
        <v>17</v>
      </c>
      <c r="K134" s="26">
        <f t="shared" si="3"/>
        <v>24.4863</v>
      </c>
      <c r="L134" s="26"/>
      <c r="M134" s="26">
        <v>24.4863</v>
      </c>
      <c r="N134" s="26"/>
      <c r="O134" s="26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</row>
    <row r="135" s="2" customFormat="1" ht="63" customHeight="1" spans="1:219">
      <c r="A135" s="23">
        <v>75</v>
      </c>
      <c r="B135" s="24" t="s">
        <v>99</v>
      </c>
      <c r="C135" s="25" t="s">
        <v>32</v>
      </c>
      <c r="D135" s="25" t="s">
        <v>18</v>
      </c>
      <c r="E135" s="26">
        <f t="shared" si="7"/>
        <v>40</v>
      </c>
      <c r="F135" s="26"/>
      <c r="G135" s="27"/>
      <c r="H135" s="27"/>
      <c r="I135" s="26">
        <v>40</v>
      </c>
      <c r="J135" s="25" t="s">
        <v>18</v>
      </c>
      <c r="K135" s="26">
        <f t="shared" ref="K135:K198" si="8">L135+M135+N135+O135</f>
        <v>37.6759</v>
      </c>
      <c r="L135" s="26"/>
      <c r="M135" s="26"/>
      <c r="N135" s="26"/>
      <c r="O135" s="26">
        <f>12.5586+20.9311+4.1862</f>
        <v>37.6759</v>
      </c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</row>
    <row r="136" s="2" customFormat="1" ht="37.5" spans="1:219">
      <c r="A136" s="31">
        <v>76</v>
      </c>
      <c r="B136" s="32" t="s">
        <v>100</v>
      </c>
      <c r="C136" s="33" t="s">
        <v>32</v>
      </c>
      <c r="D136" s="25" t="s">
        <v>18</v>
      </c>
      <c r="E136" s="26">
        <f t="shared" si="7"/>
        <v>52</v>
      </c>
      <c r="F136" s="26"/>
      <c r="G136" s="27"/>
      <c r="H136" s="27"/>
      <c r="I136" s="26">
        <v>52</v>
      </c>
      <c r="J136" s="25" t="s">
        <v>18</v>
      </c>
      <c r="K136" s="26">
        <f t="shared" si="8"/>
        <v>50.416801</v>
      </c>
      <c r="L136" s="26"/>
      <c r="M136" s="26"/>
      <c r="N136" s="26"/>
      <c r="O136" s="26">
        <f>15.7481+26.2468+8.421901</f>
        <v>50.416801</v>
      </c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</row>
    <row r="137" s="2" customFormat="1" ht="40" customHeight="1" spans="1:219">
      <c r="A137" s="37"/>
      <c r="B137" s="38"/>
      <c r="C137" s="39"/>
      <c r="D137" s="25" t="s">
        <v>17</v>
      </c>
      <c r="E137" s="26">
        <v>0</v>
      </c>
      <c r="F137" s="26"/>
      <c r="G137" s="27"/>
      <c r="H137" s="27"/>
      <c r="I137" s="26"/>
      <c r="J137" s="25" t="s">
        <v>17</v>
      </c>
      <c r="K137" s="26">
        <f t="shared" si="8"/>
        <v>1.559283</v>
      </c>
      <c r="L137" s="26"/>
      <c r="M137" s="26">
        <v>1.559283</v>
      </c>
      <c r="N137" s="26"/>
      <c r="O137" s="26"/>
    </row>
    <row r="138" s="2" customFormat="1" ht="40" customHeight="1" spans="1:219">
      <c r="A138" s="23">
        <v>77</v>
      </c>
      <c r="B138" s="24" t="s">
        <v>101</v>
      </c>
      <c r="C138" s="25" t="s">
        <v>16</v>
      </c>
      <c r="D138" s="25" t="s">
        <v>17</v>
      </c>
      <c r="E138" s="26">
        <f t="shared" ref="E138:E155" si="9">F138+G138+H138+I138</f>
        <v>1496.478851</v>
      </c>
      <c r="F138" s="26">
        <v>819.207579</v>
      </c>
      <c r="G138" s="27">
        <v>677.271272</v>
      </c>
      <c r="H138" s="27"/>
      <c r="I138" s="26"/>
      <c r="J138" s="25" t="s">
        <v>17</v>
      </c>
      <c r="K138" s="26">
        <f t="shared" si="8"/>
        <v>1496.478851</v>
      </c>
      <c r="L138" s="26">
        <f>562.9843+21.105+200.471+34.647279</f>
        <v>819.207579</v>
      </c>
      <c r="M138" s="26">
        <f>409.918551+267.352721</f>
        <v>677.271272</v>
      </c>
      <c r="N138" s="26"/>
      <c r="O138" s="26"/>
    </row>
    <row r="139" s="2" customFormat="1" ht="40" customHeight="1" spans="1:219">
      <c r="A139" s="23"/>
      <c r="B139" s="24"/>
      <c r="C139" s="25"/>
      <c r="D139" s="25" t="s">
        <v>23</v>
      </c>
      <c r="E139" s="26">
        <f t="shared" si="9"/>
        <v>13.800189</v>
      </c>
      <c r="F139" s="26">
        <f>67-1.499811-51.7</f>
        <v>13.800189</v>
      </c>
      <c r="G139" s="27"/>
      <c r="H139" s="27"/>
      <c r="I139" s="26"/>
      <c r="J139" s="25" t="s">
        <v>23</v>
      </c>
      <c r="K139" s="26">
        <f t="shared" si="8"/>
        <v>18.4718</v>
      </c>
      <c r="L139" s="26">
        <f>18.4718</f>
        <v>18.4718</v>
      </c>
      <c r="M139" s="26"/>
      <c r="N139" s="26"/>
      <c r="O139" s="26"/>
    </row>
    <row r="140" s="2" customFormat="1" ht="40" customHeight="1" spans="1:219">
      <c r="A140" s="23"/>
      <c r="B140" s="24"/>
      <c r="C140" s="25"/>
      <c r="D140" s="25" t="s">
        <v>49</v>
      </c>
      <c r="E140" s="26">
        <f t="shared" si="9"/>
        <v>123.2228</v>
      </c>
      <c r="F140" s="26">
        <f>60-14.7772</f>
        <v>45.2228</v>
      </c>
      <c r="G140" s="27">
        <v>78</v>
      </c>
      <c r="H140" s="27"/>
      <c r="I140" s="26"/>
      <c r="J140" s="25" t="s">
        <v>49</v>
      </c>
      <c r="K140" s="26">
        <f t="shared" si="8"/>
        <v>123.2228</v>
      </c>
      <c r="L140" s="26">
        <f>45.2228</f>
        <v>45.2228</v>
      </c>
      <c r="M140" s="26">
        <v>78</v>
      </c>
      <c r="N140" s="26"/>
      <c r="O140" s="26"/>
    </row>
    <row r="141" s="2" customFormat="1" ht="37.5" spans="1:219">
      <c r="A141" s="23">
        <v>78</v>
      </c>
      <c r="B141" s="24" t="s">
        <v>102</v>
      </c>
      <c r="C141" s="25" t="s">
        <v>32</v>
      </c>
      <c r="D141" s="25" t="s">
        <v>17</v>
      </c>
      <c r="E141" s="26">
        <f t="shared" si="9"/>
        <v>14.854493</v>
      </c>
      <c r="F141" s="26">
        <v>14.854493</v>
      </c>
      <c r="G141" s="27"/>
      <c r="H141" s="30"/>
      <c r="I141" s="26"/>
      <c r="J141" s="25" t="s">
        <v>17</v>
      </c>
      <c r="K141" s="26">
        <f t="shared" si="8"/>
        <v>16.326811</v>
      </c>
      <c r="L141" s="26">
        <f>14.854493</f>
        <v>14.854493</v>
      </c>
      <c r="M141" s="26">
        <v>1.472318</v>
      </c>
      <c r="N141" s="26"/>
      <c r="O141" s="26"/>
    </row>
    <row r="142" s="2" customFormat="1" ht="37.5" spans="1:219">
      <c r="A142" s="23"/>
      <c r="B142" s="24"/>
      <c r="C142" s="25"/>
      <c r="D142" s="25" t="s">
        <v>33</v>
      </c>
      <c r="E142" s="26">
        <f t="shared" si="9"/>
        <v>32.745393</v>
      </c>
      <c r="F142" s="26"/>
      <c r="G142" s="27"/>
      <c r="H142" s="27">
        <v>32.745393</v>
      </c>
      <c r="I142" s="26"/>
      <c r="J142" s="25" t="s">
        <v>33</v>
      </c>
      <c r="K142" s="26">
        <f t="shared" si="8"/>
        <v>32.745393</v>
      </c>
      <c r="L142" s="26"/>
      <c r="M142" s="26"/>
      <c r="N142" s="26">
        <f>14.854493+9.9029+7.988</f>
        <v>32.745393</v>
      </c>
      <c r="O142" s="26"/>
    </row>
    <row r="143" s="2" customFormat="1" ht="37.5" spans="1:219">
      <c r="A143" s="31">
        <v>79</v>
      </c>
      <c r="B143" s="24" t="s">
        <v>103</v>
      </c>
      <c r="C143" s="25" t="s">
        <v>16</v>
      </c>
      <c r="D143" s="25" t="s">
        <v>18</v>
      </c>
      <c r="E143" s="26">
        <f t="shared" si="9"/>
        <v>20</v>
      </c>
      <c r="F143" s="26"/>
      <c r="G143" s="27"/>
      <c r="H143" s="27"/>
      <c r="I143" s="26">
        <v>20</v>
      </c>
      <c r="J143" s="25" t="s">
        <v>18</v>
      </c>
      <c r="K143" s="26">
        <f t="shared" si="8"/>
        <v>15.9548</v>
      </c>
      <c r="L143" s="26"/>
      <c r="M143" s="26"/>
      <c r="N143" s="26"/>
      <c r="O143" s="26">
        <f>5.983+9.9718</f>
        <v>15.9548</v>
      </c>
    </row>
    <row r="144" s="2" customFormat="1" ht="37.5" spans="1:219">
      <c r="A144" s="37"/>
      <c r="B144" s="24"/>
      <c r="C144" s="25"/>
      <c r="D144" s="25" t="s">
        <v>17</v>
      </c>
      <c r="E144" s="26">
        <f t="shared" si="9"/>
        <v>0</v>
      </c>
      <c r="F144" s="26"/>
      <c r="G144" s="27"/>
      <c r="H144" s="27"/>
      <c r="I144" s="26">
        <v>0</v>
      </c>
      <c r="J144" s="25" t="s">
        <v>17</v>
      </c>
      <c r="K144" s="26">
        <f t="shared" si="8"/>
        <v>3.628401</v>
      </c>
      <c r="L144" s="26">
        <f>3.0409</f>
        <v>3.0409</v>
      </c>
      <c r="M144" s="26">
        <v>0.587501</v>
      </c>
      <c r="N144" s="26"/>
      <c r="O144" s="26"/>
    </row>
    <row r="145" s="2" customFormat="1" ht="37.5" spans="1:15">
      <c r="A145" s="31">
        <v>80</v>
      </c>
      <c r="B145" s="24" t="s">
        <v>104</v>
      </c>
      <c r="C145" s="25" t="s">
        <v>16</v>
      </c>
      <c r="D145" s="25" t="s">
        <v>18</v>
      </c>
      <c r="E145" s="26">
        <f t="shared" si="9"/>
        <v>25</v>
      </c>
      <c r="F145" s="26"/>
      <c r="G145" s="27"/>
      <c r="H145" s="27"/>
      <c r="I145" s="26">
        <v>25</v>
      </c>
      <c r="J145" s="25" t="s">
        <v>18</v>
      </c>
      <c r="K145" s="26">
        <f t="shared" si="8"/>
        <v>7.4546</v>
      </c>
      <c r="L145" s="26"/>
      <c r="M145" s="26"/>
      <c r="N145" s="26"/>
      <c r="O145" s="26">
        <f>7.4546</f>
        <v>7.4546</v>
      </c>
    </row>
    <row r="146" s="2" customFormat="1" ht="37.5" spans="1:15">
      <c r="A146" s="37"/>
      <c r="B146" s="24"/>
      <c r="C146" s="25"/>
      <c r="D146" s="25" t="s">
        <v>17</v>
      </c>
      <c r="E146" s="26">
        <f t="shared" si="9"/>
        <v>0</v>
      </c>
      <c r="F146" s="26"/>
      <c r="G146" s="27"/>
      <c r="H146" s="27"/>
      <c r="I146" s="26"/>
      <c r="J146" s="25" t="s">
        <v>17</v>
      </c>
      <c r="K146" s="26">
        <f t="shared" si="8"/>
        <v>12.4494</v>
      </c>
      <c r="L146" s="26">
        <v>12.4494</v>
      </c>
      <c r="M146" s="26"/>
      <c r="N146" s="26"/>
      <c r="O146" s="26"/>
    </row>
    <row r="147" s="2" customFormat="1" ht="37.5" spans="1:15">
      <c r="A147" s="31">
        <v>81</v>
      </c>
      <c r="B147" s="24" t="s">
        <v>105</v>
      </c>
      <c r="C147" s="25" t="s">
        <v>16</v>
      </c>
      <c r="D147" s="25" t="s">
        <v>18</v>
      </c>
      <c r="E147" s="26">
        <f t="shared" si="9"/>
        <v>50</v>
      </c>
      <c r="F147" s="26"/>
      <c r="G147" s="27"/>
      <c r="H147" s="27"/>
      <c r="I147" s="26">
        <v>50</v>
      </c>
      <c r="J147" s="25" t="s">
        <v>18</v>
      </c>
      <c r="K147" s="26">
        <f t="shared" si="8"/>
        <v>14.9297</v>
      </c>
      <c r="L147" s="26"/>
      <c r="M147" s="26"/>
      <c r="N147" s="26"/>
      <c r="O147" s="26">
        <f>14.9297</f>
        <v>14.9297</v>
      </c>
    </row>
    <row r="148" s="2" customFormat="1" ht="37.5" spans="1:15">
      <c r="A148" s="37"/>
      <c r="B148" s="24"/>
      <c r="C148" s="25"/>
      <c r="D148" s="25" t="s">
        <v>23</v>
      </c>
      <c r="E148" s="26">
        <f t="shared" si="9"/>
        <v>0</v>
      </c>
      <c r="F148" s="26"/>
      <c r="G148" s="27"/>
      <c r="H148" s="27"/>
      <c r="I148" s="26"/>
      <c r="J148" s="25" t="s">
        <v>23</v>
      </c>
      <c r="K148" s="26">
        <f t="shared" si="8"/>
        <v>24.9328</v>
      </c>
      <c r="L148" s="26">
        <f>24.9328</f>
        <v>24.9328</v>
      </c>
      <c r="M148" s="26"/>
      <c r="N148" s="26"/>
      <c r="O148" s="26"/>
    </row>
    <row r="149" s="2" customFormat="1" ht="37.5" spans="1:15">
      <c r="A149" s="31">
        <v>82</v>
      </c>
      <c r="B149" s="24" t="s">
        <v>106</v>
      </c>
      <c r="C149" s="25" t="s">
        <v>16</v>
      </c>
      <c r="D149" s="25" t="s">
        <v>18</v>
      </c>
      <c r="E149" s="26">
        <f t="shared" si="9"/>
        <v>20</v>
      </c>
      <c r="F149" s="26"/>
      <c r="G149" s="27"/>
      <c r="H149" s="27"/>
      <c r="I149" s="26">
        <v>20</v>
      </c>
      <c r="J149" s="25" t="s">
        <v>18</v>
      </c>
      <c r="K149" s="26">
        <f t="shared" si="8"/>
        <v>5.9553</v>
      </c>
      <c r="L149" s="26"/>
      <c r="M149" s="26"/>
      <c r="N149" s="26"/>
      <c r="O149" s="26">
        <f>5.9553</f>
        <v>5.9553</v>
      </c>
    </row>
    <row r="150" s="2" customFormat="1" ht="37.5" spans="1:15">
      <c r="A150" s="37"/>
      <c r="B150" s="24"/>
      <c r="C150" s="25"/>
      <c r="D150" s="25" t="s">
        <v>17</v>
      </c>
      <c r="E150" s="26">
        <f t="shared" si="9"/>
        <v>0</v>
      </c>
      <c r="F150" s="26"/>
      <c r="G150" s="27"/>
      <c r="H150" s="27"/>
      <c r="I150" s="26"/>
      <c r="J150" s="25" t="s">
        <v>17</v>
      </c>
      <c r="K150" s="26">
        <f t="shared" si="8"/>
        <v>9.9456</v>
      </c>
      <c r="L150" s="26">
        <f>9.9456</f>
        <v>9.9456</v>
      </c>
      <c r="M150" s="26"/>
      <c r="N150" s="26"/>
      <c r="O150" s="26"/>
    </row>
    <row r="151" s="2" customFormat="1" ht="37.5" spans="1:15">
      <c r="A151" s="31">
        <v>83</v>
      </c>
      <c r="B151" s="24" t="s">
        <v>107</v>
      </c>
      <c r="C151" s="25" t="s">
        <v>32</v>
      </c>
      <c r="D151" s="25" t="s">
        <v>18</v>
      </c>
      <c r="E151" s="26">
        <f t="shared" si="9"/>
        <v>58</v>
      </c>
      <c r="F151" s="26"/>
      <c r="G151" s="27"/>
      <c r="H151" s="27"/>
      <c r="I151" s="26">
        <v>58</v>
      </c>
      <c r="J151" s="25" t="s">
        <v>18</v>
      </c>
      <c r="K151" s="26">
        <f t="shared" si="8"/>
        <v>17.3518</v>
      </c>
      <c r="L151" s="26"/>
      <c r="M151" s="26"/>
      <c r="N151" s="26"/>
      <c r="O151" s="26">
        <f>17.3518</f>
        <v>17.3518</v>
      </c>
    </row>
    <row r="152" s="2" customFormat="1" ht="37.5" spans="1:15">
      <c r="A152" s="37"/>
      <c r="B152" s="24"/>
      <c r="C152" s="25"/>
      <c r="D152" s="25" t="s">
        <v>23</v>
      </c>
      <c r="E152" s="26">
        <f t="shared" si="9"/>
        <v>0</v>
      </c>
      <c r="F152" s="26"/>
      <c r="G152" s="27"/>
      <c r="H152" s="27"/>
      <c r="I152" s="26"/>
      <c r="J152" s="25" t="s">
        <v>23</v>
      </c>
      <c r="K152" s="26">
        <f t="shared" si="8"/>
        <v>28.9775</v>
      </c>
      <c r="L152" s="26">
        <f>28.9775</f>
        <v>28.9775</v>
      </c>
      <c r="M152" s="26"/>
      <c r="N152" s="26"/>
      <c r="O152" s="26"/>
    </row>
    <row r="153" s="2" customFormat="1" ht="67" customHeight="1" spans="1:15">
      <c r="A153" s="23">
        <v>84</v>
      </c>
      <c r="B153" s="24" t="s">
        <v>108</v>
      </c>
      <c r="C153" s="25" t="s">
        <v>16</v>
      </c>
      <c r="D153" s="25" t="s">
        <v>17</v>
      </c>
      <c r="E153" s="26">
        <f t="shared" si="9"/>
        <v>299.5</v>
      </c>
      <c r="F153" s="26">
        <v>150</v>
      </c>
      <c r="G153" s="27">
        <v>149.5</v>
      </c>
      <c r="H153" s="27"/>
      <c r="I153" s="26"/>
      <c r="J153" s="25" t="s">
        <v>17</v>
      </c>
      <c r="K153" s="26">
        <f t="shared" si="8"/>
        <v>299.5</v>
      </c>
      <c r="L153" s="26">
        <f>89.85+60.15</f>
        <v>150</v>
      </c>
      <c r="M153" s="26">
        <f>119.8-60.15+44.925+8.985+35.94</f>
        <v>149.5</v>
      </c>
      <c r="N153" s="26"/>
      <c r="O153" s="26"/>
    </row>
    <row r="154" s="2" customFormat="1" ht="54" customHeight="1" spans="1:15">
      <c r="A154" s="23">
        <v>85</v>
      </c>
      <c r="B154" s="24" t="s">
        <v>109</v>
      </c>
      <c r="C154" s="25" t="s">
        <v>94</v>
      </c>
      <c r="D154" s="25" t="s">
        <v>17</v>
      </c>
      <c r="E154" s="26">
        <f t="shared" si="9"/>
        <v>16.778118</v>
      </c>
      <c r="F154" s="26"/>
      <c r="G154" s="27">
        <v>16.778118</v>
      </c>
      <c r="H154" s="27"/>
      <c r="I154" s="26"/>
      <c r="J154" s="25" t="s">
        <v>17</v>
      </c>
      <c r="K154" s="26">
        <f t="shared" si="8"/>
        <v>17.772029</v>
      </c>
      <c r="L154" s="26"/>
      <c r="M154" s="26">
        <f>2.141877+6.617027+8.019214+0.475+0.518911</f>
        <v>17.772029</v>
      </c>
      <c r="N154" s="26"/>
      <c r="O154" s="26"/>
    </row>
    <row r="155" s="2" customFormat="1" ht="37.5" spans="1:15">
      <c r="A155" s="31">
        <v>86</v>
      </c>
      <c r="B155" s="24" t="s">
        <v>110</v>
      </c>
      <c r="C155" s="25" t="s">
        <v>16</v>
      </c>
      <c r="D155" s="25" t="s">
        <v>18</v>
      </c>
      <c r="E155" s="26">
        <f t="shared" si="9"/>
        <v>10</v>
      </c>
      <c r="F155" s="26"/>
      <c r="G155" s="27"/>
      <c r="H155" s="27"/>
      <c r="I155" s="26">
        <v>10</v>
      </c>
      <c r="J155" s="25" t="s">
        <v>18</v>
      </c>
      <c r="K155" s="26">
        <f t="shared" si="8"/>
        <v>2.991721</v>
      </c>
      <c r="L155" s="26"/>
      <c r="M155" s="26"/>
      <c r="N155" s="26"/>
      <c r="O155" s="26">
        <f>2.991721</f>
        <v>2.991721</v>
      </c>
    </row>
    <row r="156" s="2" customFormat="1" ht="37.5" spans="1:15">
      <c r="A156" s="34"/>
      <c r="B156" s="24"/>
      <c r="C156" s="25"/>
      <c r="D156" s="25" t="s">
        <v>17</v>
      </c>
      <c r="E156" s="26">
        <v>0</v>
      </c>
      <c r="F156" s="26"/>
      <c r="G156" s="27"/>
      <c r="H156" s="27"/>
      <c r="I156" s="26"/>
      <c r="J156" s="25" t="s">
        <v>17</v>
      </c>
      <c r="K156" s="26">
        <f t="shared" si="8"/>
        <v>0.198888</v>
      </c>
      <c r="L156" s="26"/>
      <c r="M156" s="26">
        <v>0.198888</v>
      </c>
      <c r="N156" s="26"/>
      <c r="O156" s="26"/>
    </row>
    <row r="157" s="2" customFormat="1" ht="37.5" spans="1:15">
      <c r="A157" s="37"/>
      <c r="B157" s="24"/>
      <c r="C157" s="25"/>
      <c r="D157" s="25" t="s">
        <v>111</v>
      </c>
      <c r="E157" s="26">
        <f t="shared" ref="E157:E162" si="10">F157+G157+H157+I157</f>
        <v>0</v>
      </c>
      <c r="F157" s="26"/>
      <c r="G157" s="27"/>
      <c r="H157" s="27"/>
      <c r="I157" s="26">
        <v>0</v>
      </c>
      <c r="J157" s="25" t="s">
        <v>111</v>
      </c>
      <c r="K157" s="26">
        <f t="shared" si="8"/>
        <v>3.438985</v>
      </c>
      <c r="L157" s="26"/>
      <c r="M157" s="26"/>
      <c r="N157" s="26">
        <f>3.438985</f>
        <v>3.438985</v>
      </c>
      <c r="O157" s="26"/>
    </row>
    <row r="158" s="2" customFormat="1" ht="53" customHeight="1" spans="1:15">
      <c r="A158" s="23">
        <v>87</v>
      </c>
      <c r="B158" s="24" t="s">
        <v>112</v>
      </c>
      <c r="C158" s="25" t="s">
        <v>16</v>
      </c>
      <c r="D158" s="25" t="s">
        <v>17</v>
      </c>
      <c r="E158" s="26">
        <f t="shared" si="10"/>
        <v>541.4192</v>
      </c>
      <c r="F158" s="26">
        <v>350</v>
      </c>
      <c r="G158" s="27">
        <v>191.4192</v>
      </c>
      <c r="H158" s="27"/>
      <c r="I158" s="28"/>
      <c r="J158" s="25" t="s">
        <v>17</v>
      </c>
      <c r="K158" s="26">
        <f t="shared" si="8"/>
        <v>541.4192</v>
      </c>
      <c r="L158" s="26">
        <f>258.508293+89.991896+1.499811</f>
        <v>350</v>
      </c>
      <c r="M158" s="26">
        <f>191.4192</f>
        <v>191.4192</v>
      </c>
      <c r="N158" s="26"/>
      <c r="O158" s="26"/>
    </row>
    <row r="159" s="2" customFormat="1" ht="54" customHeight="1" spans="1:15">
      <c r="A159" s="23"/>
      <c r="B159" s="24"/>
      <c r="C159" s="25"/>
      <c r="D159" s="25" t="s">
        <v>23</v>
      </c>
      <c r="E159" s="26">
        <f t="shared" si="10"/>
        <v>267.667818</v>
      </c>
      <c r="F159" s="26">
        <f>215.967818+51.7</f>
        <v>267.667818</v>
      </c>
      <c r="G159" s="27"/>
      <c r="H159" s="27"/>
      <c r="I159" s="28"/>
      <c r="J159" s="25" t="s">
        <v>23</v>
      </c>
      <c r="K159" s="26">
        <f t="shared" si="8"/>
        <v>267.667818</v>
      </c>
      <c r="L159" s="26">
        <f>215.967818+51.7</f>
        <v>267.667818</v>
      </c>
      <c r="M159" s="26"/>
      <c r="N159" s="26"/>
      <c r="O159" s="26"/>
    </row>
    <row r="160" s="2" customFormat="1" ht="138" customHeight="1" spans="1:15">
      <c r="A160" s="23">
        <v>88</v>
      </c>
      <c r="B160" s="24" t="s">
        <v>113</v>
      </c>
      <c r="C160" s="25" t="s">
        <v>16</v>
      </c>
      <c r="D160" s="25" t="s">
        <v>17</v>
      </c>
      <c r="E160" s="26">
        <f t="shared" si="10"/>
        <v>482.768224</v>
      </c>
      <c r="F160" s="26">
        <v>398.15936</v>
      </c>
      <c r="G160" s="27">
        <v>84.608864</v>
      </c>
      <c r="H160" s="30"/>
      <c r="I160" s="26"/>
      <c r="J160" s="25" t="s">
        <v>17</v>
      </c>
      <c r="K160" s="26">
        <f t="shared" si="8"/>
        <v>521.1776</v>
      </c>
      <c r="L160" s="26">
        <f>149.30976+149.30976+99.53984+22.774048</f>
        <v>420.933408</v>
      </c>
      <c r="M160" s="26">
        <f>49.76992+34.838944+15.635328</f>
        <v>100.244192</v>
      </c>
      <c r="N160" s="26"/>
      <c r="O160" s="26"/>
    </row>
    <row r="161" s="2" customFormat="1" ht="65" customHeight="1" spans="1:15">
      <c r="A161" s="23">
        <v>89</v>
      </c>
      <c r="B161" s="24" t="s">
        <v>114</v>
      </c>
      <c r="C161" s="25" t="s">
        <v>16</v>
      </c>
      <c r="D161" s="25" t="s">
        <v>17</v>
      </c>
      <c r="E161" s="26">
        <f t="shared" si="10"/>
        <v>70</v>
      </c>
      <c r="F161" s="26"/>
      <c r="G161" s="27">
        <f>50+20</f>
        <v>70</v>
      </c>
      <c r="H161" s="27"/>
      <c r="I161" s="26"/>
      <c r="J161" s="25" t="s">
        <v>17</v>
      </c>
      <c r="K161" s="26">
        <f t="shared" si="8"/>
        <v>70.021376</v>
      </c>
      <c r="L161" s="26"/>
      <c r="M161" s="26">
        <f>11.0625+22.125+10.061016+6.81+11.35+3.859+4.75386</f>
        <v>70.021376</v>
      </c>
      <c r="N161" s="26"/>
      <c r="O161" s="26"/>
    </row>
    <row r="162" s="2" customFormat="1" ht="38" customHeight="1" spans="1:15">
      <c r="A162" s="31">
        <v>90</v>
      </c>
      <c r="B162" s="32" t="s">
        <v>115</v>
      </c>
      <c r="C162" s="33" t="s">
        <v>16</v>
      </c>
      <c r="D162" s="25" t="s">
        <v>23</v>
      </c>
      <c r="E162" s="26">
        <f t="shared" si="10"/>
        <v>12</v>
      </c>
      <c r="F162" s="26">
        <v>12</v>
      </c>
      <c r="G162" s="30"/>
      <c r="H162" s="30"/>
      <c r="I162" s="28"/>
      <c r="J162" s="25" t="s">
        <v>23</v>
      </c>
      <c r="K162" s="26">
        <f t="shared" si="8"/>
        <v>11.741093</v>
      </c>
      <c r="L162" s="26">
        <f>3.683899+6.139833+1.917361</f>
        <v>11.741093</v>
      </c>
      <c r="M162" s="26"/>
      <c r="N162" s="26"/>
      <c r="O162" s="26"/>
    </row>
    <row r="163" s="2" customFormat="1" ht="46" customHeight="1" spans="1:15">
      <c r="A163" s="37"/>
      <c r="B163" s="38"/>
      <c r="C163" s="39"/>
      <c r="D163" s="25" t="s">
        <v>17</v>
      </c>
      <c r="E163" s="26">
        <v>0</v>
      </c>
      <c r="F163" s="26"/>
      <c r="G163" s="27"/>
      <c r="H163" s="27"/>
      <c r="I163" s="26"/>
      <c r="J163" s="25" t="s">
        <v>17</v>
      </c>
      <c r="K163" s="26">
        <f t="shared" si="8"/>
        <v>0.363127</v>
      </c>
      <c r="L163" s="26"/>
      <c r="M163" s="26">
        <v>0.363127</v>
      </c>
      <c r="N163" s="26"/>
      <c r="O163" s="26"/>
    </row>
    <row r="164" s="2" customFormat="1" ht="47" customHeight="1" spans="1:15">
      <c r="A164" s="31">
        <v>91</v>
      </c>
      <c r="B164" s="32" t="s">
        <v>116</v>
      </c>
      <c r="C164" s="33" t="s">
        <v>16</v>
      </c>
      <c r="D164" s="25" t="s">
        <v>49</v>
      </c>
      <c r="E164" s="26">
        <f t="shared" ref="E164:E168" si="11">F164+G164+H164+I164</f>
        <v>22</v>
      </c>
      <c r="F164" s="26"/>
      <c r="G164" s="27">
        <v>22</v>
      </c>
      <c r="H164" s="27"/>
      <c r="I164" s="26"/>
      <c r="J164" s="25" t="s">
        <v>49</v>
      </c>
      <c r="K164" s="26">
        <f t="shared" si="8"/>
        <v>20.693241</v>
      </c>
      <c r="L164" s="26"/>
      <c r="M164" s="26">
        <f>6.418193+10.69699+3.578058</f>
        <v>20.693241</v>
      </c>
      <c r="N164" s="26"/>
      <c r="O164" s="26"/>
    </row>
    <row r="165" s="2" customFormat="1" ht="45" customHeight="1" spans="1:15">
      <c r="A165" s="37"/>
      <c r="B165" s="38"/>
      <c r="C165" s="39"/>
      <c r="D165" s="25" t="s">
        <v>17</v>
      </c>
      <c r="E165" s="26">
        <v>0</v>
      </c>
      <c r="F165" s="26"/>
      <c r="G165" s="27"/>
      <c r="H165" s="27"/>
      <c r="I165" s="26"/>
      <c r="J165" s="25" t="s">
        <v>17</v>
      </c>
      <c r="K165" s="26">
        <f t="shared" si="8"/>
        <v>0.639998</v>
      </c>
      <c r="L165" s="26"/>
      <c r="M165" s="26">
        <v>0.639998</v>
      </c>
      <c r="N165" s="26"/>
      <c r="O165" s="26"/>
    </row>
    <row r="166" s="2" customFormat="1" ht="37" customHeight="1" spans="1:15">
      <c r="A166" s="31">
        <v>92</v>
      </c>
      <c r="B166" s="32" t="s">
        <v>117</v>
      </c>
      <c r="C166" s="33" t="s">
        <v>16</v>
      </c>
      <c r="D166" s="25" t="s">
        <v>18</v>
      </c>
      <c r="E166" s="26">
        <f t="shared" si="11"/>
        <v>19</v>
      </c>
      <c r="F166" s="26"/>
      <c r="G166" s="27"/>
      <c r="H166" s="27"/>
      <c r="I166" s="26">
        <v>19</v>
      </c>
      <c r="J166" s="25" t="s">
        <v>18</v>
      </c>
      <c r="K166" s="26">
        <f t="shared" si="8"/>
        <v>18.247901</v>
      </c>
      <c r="L166" s="26"/>
      <c r="M166" s="26"/>
      <c r="N166" s="26"/>
      <c r="O166" s="26">
        <f>5.6695+9.449267+3.129134</f>
        <v>18.247901</v>
      </c>
    </row>
    <row r="167" s="2" customFormat="1" ht="37" customHeight="1" spans="1:15">
      <c r="A167" s="37"/>
      <c r="B167" s="38"/>
      <c r="C167" s="39"/>
      <c r="D167" s="25" t="s">
        <v>17</v>
      </c>
      <c r="E167" s="26">
        <v>0</v>
      </c>
      <c r="F167" s="26"/>
      <c r="G167" s="27"/>
      <c r="H167" s="27"/>
      <c r="I167" s="26"/>
      <c r="J167" s="25" t="s">
        <v>17</v>
      </c>
      <c r="K167" s="26">
        <f t="shared" si="8"/>
        <v>0.564369</v>
      </c>
      <c r="L167" s="26"/>
      <c r="M167" s="26">
        <v>0.564369</v>
      </c>
      <c r="N167" s="26"/>
      <c r="O167" s="26"/>
    </row>
    <row r="168" s="2" customFormat="1" ht="39" customHeight="1" spans="1:15">
      <c r="A168" s="31">
        <v>93</v>
      </c>
      <c r="B168" s="32" t="s">
        <v>118</v>
      </c>
      <c r="C168" s="33" t="s">
        <v>16</v>
      </c>
      <c r="D168" s="25" t="s">
        <v>23</v>
      </c>
      <c r="E168" s="26">
        <f t="shared" si="11"/>
        <v>55</v>
      </c>
      <c r="F168" s="26">
        <v>55</v>
      </c>
      <c r="G168" s="27"/>
      <c r="H168" s="27"/>
      <c r="I168" s="26"/>
      <c r="J168" s="25" t="s">
        <v>23</v>
      </c>
      <c r="K168" s="26">
        <f t="shared" si="8"/>
        <v>51.274582</v>
      </c>
      <c r="L168" s="26">
        <f>16.3765+16.376586+18.521496</f>
        <v>51.274582</v>
      </c>
      <c r="M168" s="26"/>
      <c r="N168" s="26"/>
      <c r="O168" s="42"/>
    </row>
    <row r="169" s="2" customFormat="1" ht="39" customHeight="1" spans="1:15">
      <c r="A169" s="37"/>
      <c r="B169" s="38"/>
      <c r="C169" s="39"/>
      <c r="D169" s="25" t="s">
        <v>17</v>
      </c>
      <c r="E169" s="26">
        <v>0</v>
      </c>
      <c r="F169" s="26"/>
      <c r="G169" s="27"/>
      <c r="H169" s="27"/>
      <c r="I169" s="26"/>
      <c r="J169" s="25" t="s">
        <v>17</v>
      </c>
      <c r="K169" s="26">
        <f t="shared" si="8"/>
        <v>1.585812</v>
      </c>
      <c r="L169" s="26"/>
      <c r="M169" s="26">
        <v>1.585812</v>
      </c>
      <c r="N169" s="26"/>
      <c r="O169" s="42"/>
    </row>
    <row r="170" s="2" customFormat="1" ht="139" customHeight="1" spans="1:15">
      <c r="A170" s="23">
        <v>94</v>
      </c>
      <c r="B170" s="24" t="s">
        <v>119</v>
      </c>
      <c r="C170" s="25" t="s">
        <v>16</v>
      </c>
      <c r="D170" s="25" t="s">
        <v>17</v>
      </c>
      <c r="E170" s="26">
        <f t="shared" ref="E170:E177" si="12">F170+G170+H170+I170</f>
        <v>320</v>
      </c>
      <c r="F170" s="26">
        <f>340-20</f>
        <v>320</v>
      </c>
      <c r="G170" s="27">
        <f>10-10</f>
        <v>0</v>
      </c>
      <c r="H170" s="27"/>
      <c r="I170" s="26"/>
      <c r="J170" s="25" t="s">
        <v>17</v>
      </c>
      <c r="K170" s="26">
        <f t="shared" si="8"/>
        <v>318.845258</v>
      </c>
      <c r="L170" s="26">
        <f>65.88+33.081758+109.8+24.156+22.0545+8.784+11.0272+22.0545+11.0273+4.392</f>
        <v>312.257258</v>
      </c>
      <c r="M170" s="26">
        <v>6.588</v>
      </c>
      <c r="N170" s="26"/>
      <c r="O170" s="26"/>
    </row>
    <row r="171" s="2" customFormat="1" ht="65" customHeight="1" spans="1:15">
      <c r="A171" s="23">
        <v>95</v>
      </c>
      <c r="B171" s="24" t="s">
        <v>120</v>
      </c>
      <c r="C171" s="25" t="s">
        <v>32</v>
      </c>
      <c r="D171" s="25" t="s">
        <v>17</v>
      </c>
      <c r="E171" s="26">
        <f t="shared" si="12"/>
        <v>37.6826</v>
      </c>
      <c r="F171" s="26">
        <v>37.6826</v>
      </c>
      <c r="G171" s="27"/>
      <c r="H171" s="27"/>
      <c r="I171" s="26"/>
      <c r="J171" s="25" t="s">
        <v>17</v>
      </c>
      <c r="K171" s="26">
        <f t="shared" si="8"/>
        <v>38.848043</v>
      </c>
      <c r="L171" s="26">
        <f>10.7978+7.1986+10.7978+5.3988+3.4896</f>
        <v>37.6826</v>
      </c>
      <c r="M171" s="26">
        <v>1.165443</v>
      </c>
      <c r="N171" s="26"/>
      <c r="O171" s="26"/>
    </row>
    <row r="172" s="2" customFormat="1" ht="69" customHeight="1" spans="1:15">
      <c r="A172" s="23">
        <v>96</v>
      </c>
      <c r="B172" s="24" t="s">
        <v>121</v>
      </c>
      <c r="C172" s="25" t="s">
        <v>32</v>
      </c>
      <c r="D172" s="25" t="s">
        <v>17</v>
      </c>
      <c r="E172" s="26">
        <f t="shared" si="12"/>
        <v>42.5929</v>
      </c>
      <c r="F172" s="26">
        <v>42.5929</v>
      </c>
      <c r="G172" s="27"/>
      <c r="H172" s="27"/>
      <c r="I172" s="26"/>
      <c r="J172" s="25" t="s">
        <v>17</v>
      </c>
      <c r="K172" s="26">
        <f t="shared" si="8"/>
        <v>43.910209</v>
      </c>
      <c r="L172" s="26">
        <f>12.335+12.3351+12.3351+2.0558+3.5319</f>
        <v>42.5929</v>
      </c>
      <c r="M172" s="26">
        <v>1.317309</v>
      </c>
      <c r="N172" s="26"/>
      <c r="O172" s="26"/>
    </row>
    <row r="173" s="1" customFormat="1" ht="51" customHeight="1" spans="1:15">
      <c r="A173" s="23">
        <v>97</v>
      </c>
      <c r="B173" s="24" t="s">
        <v>122</v>
      </c>
      <c r="C173" s="25" t="s">
        <v>94</v>
      </c>
      <c r="D173" s="25" t="s">
        <v>17</v>
      </c>
      <c r="E173" s="26">
        <f t="shared" si="12"/>
        <v>16.87</v>
      </c>
      <c r="F173" s="26"/>
      <c r="G173" s="27">
        <v>16.87</v>
      </c>
      <c r="H173" s="27"/>
      <c r="I173" s="26"/>
      <c r="J173" s="25" t="s">
        <v>17</v>
      </c>
      <c r="K173" s="26">
        <f t="shared" si="8"/>
        <v>13.354531</v>
      </c>
      <c r="L173" s="26"/>
      <c r="M173" s="26">
        <f>5.465089+9.106443-1.617637+0.400636</f>
        <v>13.354531</v>
      </c>
      <c r="N173" s="26"/>
      <c r="O173" s="26"/>
    </row>
    <row r="174" s="1" customFormat="1" ht="70" customHeight="1" spans="1:15">
      <c r="A174" s="23">
        <v>98</v>
      </c>
      <c r="B174" s="24" t="s">
        <v>123</v>
      </c>
      <c r="C174" s="25" t="s">
        <v>16</v>
      </c>
      <c r="D174" s="25" t="s">
        <v>49</v>
      </c>
      <c r="E174" s="26">
        <f t="shared" si="12"/>
        <v>30</v>
      </c>
      <c r="F174" s="26"/>
      <c r="G174" s="27">
        <v>30</v>
      </c>
      <c r="H174" s="27"/>
      <c r="I174" s="26"/>
      <c r="J174" s="25" t="s">
        <v>49</v>
      </c>
      <c r="K174" s="26">
        <f t="shared" si="8"/>
        <v>26.6818</v>
      </c>
      <c r="L174" s="26"/>
      <c r="M174" s="26">
        <f>8.9938+17.688</f>
        <v>26.6818</v>
      </c>
      <c r="N174" s="26"/>
      <c r="O174" s="26"/>
    </row>
    <row r="175" s="1" customFormat="1" ht="75" customHeight="1" spans="1:15">
      <c r="A175" s="23">
        <v>99</v>
      </c>
      <c r="B175" s="24" t="s">
        <v>124</v>
      </c>
      <c r="C175" s="25" t="s">
        <v>16</v>
      </c>
      <c r="D175" s="25" t="s">
        <v>33</v>
      </c>
      <c r="E175" s="26">
        <f t="shared" si="12"/>
        <v>57</v>
      </c>
      <c r="F175" s="26"/>
      <c r="G175" s="27"/>
      <c r="H175" s="27">
        <v>57</v>
      </c>
      <c r="I175" s="26"/>
      <c r="J175" s="25" t="s">
        <v>33</v>
      </c>
      <c r="K175" s="26">
        <f t="shared" si="8"/>
        <v>50.5113</v>
      </c>
      <c r="L175" s="26"/>
      <c r="M175" s="26"/>
      <c r="N175" s="26">
        <f>17.0262+33.4851</f>
        <v>50.5113</v>
      </c>
      <c r="O175" s="26"/>
    </row>
    <row r="176" s="2" customFormat="1" ht="45" customHeight="1" spans="1:15">
      <c r="A176" s="23">
        <v>100</v>
      </c>
      <c r="B176" s="24" t="s">
        <v>125</v>
      </c>
      <c r="C176" s="25" t="s">
        <v>94</v>
      </c>
      <c r="D176" s="25" t="s">
        <v>17</v>
      </c>
      <c r="E176" s="26">
        <f t="shared" si="12"/>
        <v>27.852277</v>
      </c>
      <c r="F176" s="26"/>
      <c r="G176" s="27">
        <v>27.852277</v>
      </c>
      <c r="H176" s="27"/>
      <c r="I176" s="26"/>
      <c r="J176" s="25" t="s">
        <v>17</v>
      </c>
      <c r="K176" s="26">
        <f t="shared" si="8"/>
        <v>28.713688</v>
      </c>
      <c r="L176" s="26"/>
      <c r="M176" s="26">
        <f>8.221719+8.221719+11.408839+0.861411</f>
        <v>28.713688</v>
      </c>
      <c r="N176" s="26"/>
      <c r="O176" s="26"/>
    </row>
    <row r="177" s="2" customFormat="1" ht="37.5" spans="1:15">
      <c r="A177" s="31">
        <v>101</v>
      </c>
      <c r="B177" s="32" t="s">
        <v>126</v>
      </c>
      <c r="C177" s="33" t="s">
        <v>16</v>
      </c>
      <c r="D177" s="25" t="s">
        <v>18</v>
      </c>
      <c r="E177" s="26">
        <f t="shared" si="12"/>
        <v>10</v>
      </c>
      <c r="F177" s="26"/>
      <c r="G177" s="27"/>
      <c r="H177" s="27"/>
      <c r="I177" s="26">
        <v>10</v>
      </c>
      <c r="J177" s="25" t="s">
        <v>18</v>
      </c>
      <c r="K177" s="26">
        <f t="shared" si="8"/>
        <v>9.7</v>
      </c>
      <c r="L177" s="26"/>
      <c r="M177" s="26"/>
      <c r="N177" s="26"/>
      <c r="O177" s="26">
        <f>2.99226+2.99226+1.99484+1.72064</f>
        <v>9.7</v>
      </c>
    </row>
    <row r="178" s="2" customFormat="1" ht="37.5" spans="1:15">
      <c r="A178" s="37"/>
      <c r="B178" s="38"/>
      <c r="C178" s="39"/>
      <c r="D178" s="25" t="s">
        <v>17</v>
      </c>
      <c r="E178" s="26">
        <v>0</v>
      </c>
      <c r="F178" s="26"/>
      <c r="G178" s="27"/>
      <c r="H178" s="27"/>
      <c r="I178" s="26"/>
      <c r="J178" s="25" t="s">
        <v>17</v>
      </c>
      <c r="K178" s="26">
        <f t="shared" si="8"/>
        <v>0.3</v>
      </c>
      <c r="L178" s="26"/>
      <c r="M178" s="43">
        <v>0.3</v>
      </c>
      <c r="N178" s="26"/>
      <c r="O178" s="26"/>
    </row>
    <row r="179" s="2" customFormat="1" ht="68" customHeight="1" spans="1:15">
      <c r="A179" s="23">
        <v>102</v>
      </c>
      <c r="B179" s="24" t="s">
        <v>127</v>
      </c>
      <c r="C179" s="25" t="s">
        <v>16</v>
      </c>
      <c r="D179" s="25" t="s">
        <v>17</v>
      </c>
      <c r="E179" s="26">
        <f t="shared" ref="E179:E183" si="13">F179+G179+H179+I179</f>
        <v>10</v>
      </c>
      <c r="F179" s="26"/>
      <c r="G179" s="27">
        <v>10</v>
      </c>
      <c r="H179" s="27"/>
      <c r="I179" s="26"/>
      <c r="J179" s="25" t="s">
        <v>17</v>
      </c>
      <c r="K179" s="26">
        <f t="shared" si="8"/>
        <v>8.418852</v>
      </c>
      <c r="L179" s="26"/>
      <c r="M179" s="43">
        <f>2.981945+5.184341+0.252566</f>
        <v>8.418852</v>
      </c>
      <c r="N179" s="26"/>
      <c r="O179" s="26"/>
    </row>
    <row r="180" s="2" customFormat="1" ht="86" customHeight="1" spans="1:15">
      <c r="A180" s="23">
        <v>103</v>
      </c>
      <c r="B180" s="24" t="s">
        <v>128</v>
      </c>
      <c r="C180" s="25" t="s">
        <v>16</v>
      </c>
      <c r="D180" s="25" t="s">
        <v>17</v>
      </c>
      <c r="E180" s="26">
        <f t="shared" si="13"/>
        <v>59</v>
      </c>
      <c r="F180" s="26"/>
      <c r="G180" s="27">
        <v>59</v>
      </c>
      <c r="H180" s="27"/>
      <c r="I180" s="26"/>
      <c r="J180" s="25" t="s">
        <v>17</v>
      </c>
      <c r="K180" s="26">
        <f t="shared" si="8"/>
        <v>52.079681</v>
      </c>
      <c r="L180" s="26"/>
      <c r="M180" s="43">
        <f>17.554949+34.524732</f>
        <v>52.079681</v>
      </c>
      <c r="N180" s="26"/>
      <c r="O180" s="26"/>
    </row>
    <row r="181" s="2" customFormat="1" ht="51" customHeight="1" spans="1:15">
      <c r="A181" s="23">
        <v>104</v>
      </c>
      <c r="B181" s="24" t="s">
        <v>129</v>
      </c>
      <c r="C181" s="25" t="s">
        <v>16</v>
      </c>
      <c r="D181" s="25" t="s">
        <v>17</v>
      </c>
      <c r="E181" s="26">
        <f t="shared" si="13"/>
        <v>45</v>
      </c>
      <c r="F181" s="26"/>
      <c r="G181" s="27">
        <v>45</v>
      </c>
      <c r="H181" s="27"/>
      <c r="I181" s="26"/>
      <c r="J181" s="25" t="s">
        <v>17</v>
      </c>
      <c r="K181" s="26">
        <f t="shared" si="8"/>
        <v>37.705506</v>
      </c>
      <c r="L181" s="26"/>
      <c r="M181" s="43">
        <f>12.709721+24.995785</f>
        <v>37.705506</v>
      </c>
      <c r="N181" s="26"/>
      <c r="O181" s="26"/>
    </row>
    <row r="182" s="2" customFormat="1" ht="50" customHeight="1" spans="1:15">
      <c r="A182" s="23">
        <v>105</v>
      </c>
      <c r="B182" s="24" t="s">
        <v>130</v>
      </c>
      <c r="C182" s="25" t="s">
        <v>94</v>
      </c>
      <c r="D182" s="25" t="s">
        <v>17</v>
      </c>
      <c r="E182" s="26">
        <f t="shared" si="13"/>
        <v>28.48</v>
      </c>
      <c r="F182" s="26"/>
      <c r="G182" s="27">
        <v>28.48</v>
      </c>
      <c r="H182" s="27"/>
      <c r="I182" s="26"/>
      <c r="J182" s="25" t="s">
        <v>17</v>
      </c>
      <c r="K182" s="26">
        <f t="shared" si="8"/>
        <v>28.123743</v>
      </c>
      <c r="L182" s="26"/>
      <c r="M182" s="26">
        <f>8.54526+15.66631+3.068461+0.843712</f>
        <v>28.123743</v>
      </c>
      <c r="N182" s="26"/>
      <c r="O182" s="26"/>
    </row>
    <row r="183" s="2" customFormat="1" ht="38" customHeight="1" spans="1:15">
      <c r="A183" s="31">
        <v>106</v>
      </c>
      <c r="B183" s="32" t="s">
        <v>131</v>
      </c>
      <c r="C183" s="33" t="s">
        <v>16</v>
      </c>
      <c r="D183" s="25" t="s">
        <v>18</v>
      </c>
      <c r="E183" s="26">
        <f t="shared" si="13"/>
        <v>13</v>
      </c>
      <c r="F183" s="26"/>
      <c r="G183" s="27"/>
      <c r="H183" s="27"/>
      <c r="I183" s="26">
        <v>13</v>
      </c>
      <c r="J183" s="25" t="s">
        <v>18</v>
      </c>
      <c r="K183" s="26">
        <f t="shared" si="8"/>
        <v>11.98576</v>
      </c>
      <c r="L183" s="26"/>
      <c r="M183" s="26"/>
      <c r="N183" s="26"/>
      <c r="O183" s="26">
        <f>3.886241+8.099519</f>
        <v>11.98576</v>
      </c>
    </row>
    <row r="184" s="2" customFormat="1" ht="38" customHeight="1" spans="1:15">
      <c r="A184" s="37"/>
      <c r="B184" s="38"/>
      <c r="C184" s="39"/>
      <c r="D184" s="25" t="s">
        <v>17</v>
      </c>
      <c r="E184" s="26">
        <v>0</v>
      </c>
      <c r="F184" s="26"/>
      <c r="G184" s="27"/>
      <c r="H184" s="27"/>
      <c r="I184" s="26"/>
      <c r="J184" s="25" t="s">
        <v>17</v>
      </c>
      <c r="K184" s="26">
        <f t="shared" si="8"/>
        <v>0.370694</v>
      </c>
      <c r="L184" s="26"/>
      <c r="M184" s="26">
        <v>0.370694</v>
      </c>
      <c r="N184" s="26"/>
      <c r="O184" s="26"/>
    </row>
    <row r="185" s="2" customFormat="1" ht="49" customHeight="1" spans="1:15">
      <c r="A185" s="23">
        <v>107</v>
      </c>
      <c r="B185" s="24" t="s">
        <v>132</v>
      </c>
      <c r="C185" s="25" t="s">
        <v>16</v>
      </c>
      <c r="D185" s="25" t="s">
        <v>49</v>
      </c>
      <c r="E185" s="26">
        <f t="shared" ref="E185:E190" si="14">F185+G185+H185+I185</f>
        <v>50</v>
      </c>
      <c r="F185" s="26"/>
      <c r="G185" s="27">
        <v>50</v>
      </c>
      <c r="H185" s="27"/>
      <c r="I185" s="26"/>
      <c r="J185" s="25" t="s">
        <v>49</v>
      </c>
      <c r="K185" s="26">
        <f t="shared" si="8"/>
        <v>41.856677</v>
      </c>
      <c r="L185" s="26"/>
      <c r="M185" s="26">
        <f>14.772944+14.951404+12.132329</f>
        <v>41.856677</v>
      </c>
      <c r="N185" s="26"/>
      <c r="O185" s="26"/>
    </row>
    <row r="186" s="2" customFormat="1" ht="37" customHeight="1" spans="1:15">
      <c r="A186" s="31">
        <v>108</v>
      </c>
      <c r="B186" s="32" t="s">
        <v>133</v>
      </c>
      <c r="C186" s="33" t="s">
        <v>16</v>
      </c>
      <c r="D186" s="25" t="s">
        <v>17</v>
      </c>
      <c r="E186" s="26">
        <f t="shared" si="14"/>
        <v>0</v>
      </c>
      <c r="F186" s="26"/>
      <c r="G186" s="27"/>
      <c r="H186" s="27"/>
      <c r="I186" s="26"/>
      <c r="J186" s="25" t="s">
        <v>17</v>
      </c>
      <c r="K186" s="26">
        <f t="shared" si="8"/>
        <v>10.307449</v>
      </c>
      <c r="L186" s="26"/>
      <c r="M186" s="26">
        <f>9.515129+0.79232</f>
        <v>10.307449</v>
      </c>
      <c r="N186" s="26"/>
      <c r="O186" s="26"/>
    </row>
    <row r="187" s="2" customFormat="1" ht="37" customHeight="1" spans="1:15">
      <c r="A187" s="37"/>
      <c r="B187" s="38"/>
      <c r="C187" s="39"/>
      <c r="D187" s="25" t="s">
        <v>18</v>
      </c>
      <c r="E187" s="26">
        <f t="shared" si="14"/>
        <v>30</v>
      </c>
      <c r="F187" s="26"/>
      <c r="G187" s="27"/>
      <c r="H187" s="27"/>
      <c r="I187" s="26">
        <v>30</v>
      </c>
      <c r="J187" s="25" t="s">
        <v>18</v>
      </c>
      <c r="K187" s="26">
        <f t="shared" si="8"/>
        <v>16.103202</v>
      </c>
      <c r="L187" s="26"/>
      <c r="M187" s="26"/>
      <c r="N187" s="26"/>
      <c r="O187" s="26">
        <f>7.926064+8.177138</f>
        <v>16.103202</v>
      </c>
    </row>
    <row r="188" s="2" customFormat="1" ht="114" customHeight="1" spans="1:15">
      <c r="A188" s="23">
        <v>109</v>
      </c>
      <c r="B188" s="24" t="s">
        <v>134</v>
      </c>
      <c r="C188" s="25" t="s">
        <v>16</v>
      </c>
      <c r="D188" s="25" t="s">
        <v>17</v>
      </c>
      <c r="E188" s="26">
        <f t="shared" si="14"/>
        <v>370</v>
      </c>
      <c r="F188" s="26">
        <f>260-30</f>
        <v>230</v>
      </c>
      <c r="G188" s="27">
        <v>140</v>
      </c>
      <c r="H188" s="27"/>
      <c r="I188" s="26"/>
      <c r="J188" s="25" t="s">
        <v>17</v>
      </c>
      <c r="K188" s="26">
        <f t="shared" si="8"/>
        <v>345.086296</v>
      </c>
      <c r="L188" s="26">
        <f>10.665+24.885+9.135+93.028799+21.315+62.019199</f>
        <v>221.047998</v>
      </c>
      <c r="M188" s="26">
        <f>62.019199+31.009599+31.0095</f>
        <v>124.038298</v>
      </c>
      <c r="N188" s="26"/>
      <c r="O188" s="26"/>
    </row>
    <row r="189" s="2" customFormat="1" ht="51" customHeight="1" spans="1:15">
      <c r="A189" s="23">
        <v>110</v>
      </c>
      <c r="B189" s="24" t="s">
        <v>135</v>
      </c>
      <c r="C189" s="25" t="s">
        <v>94</v>
      </c>
      <c r="D189" s="25" t="s">
        <v>17</v>
      </c>
      <c r="E189" s="26">
        <f t="shared" si="14"/>
        <v>13.210729</v>
      </c>
      <c r="F189" s="26"/>
      <c r="G189" s="27">
        <v>13.210729</v>
      </c>
      <c r="H189" s="27"/>
      <c r="I189" s="26"/>
      <c r="J189" s="25" t="s">
        <v>17</v>
      </c>
      <c r="K189" s="26">
        <f t="shared" si="8"/>
        <v>13.685729</v>
      </c>
      <c r="L189" s="26"/>
      <c r="M189" s="26">
        <f>13.210729+0.475</f>
        <v>13.685729</v>
      </c>
      <c r="N189" s="26"/>
      <c r="O189" s="26"/>
    </row>
    <row r="190" s="2" customFormat="1" ht="37.5" spans="1:15">
      <c r="A190" s="31">
        <v>111</v>
      </c>
      <c r="B190" s="32" t="s">
        <v>136</v>
      </c>
      <c r="C190" s="33" t="s">
        <v>16</v>
      </c>
      <c r="D190" s="25" t="s">
        <v>18</v>
      </c>
      <c r="E190" s="26">
        <f t="shared" si="14"/>
        <v>10</v>
      </c>
      <c r="F190" s="26"/>
      <c r="G190" s="27"/>
      <c r="H190" s="27"/>
      <c r="I190" s="26">
        <v>10</v>
      </c>
      <c r="J190" s="25" t="s">
        <v>18</v>
      </c>
      <c r="K190" s="26">
        <f t="shared" si="8"/>
        <v>9.336686</v>
      </c>
      <c r="L190" s="26"/>
      <c r="M190" s="26"/>
      <c r="N190" s="26"/>
      <c r="O190" s="26">
        <f>2.93148+6.405206</f>
        <v>9.336686</v>
      </c>
    </row>
    <row r="191" s="2" customFormat="1" ht="37.5" spans="1:15">
      <c r="A191" s="37"/>
      <c r="B191" s="38"/>
      <c r="C191" s="39"/>
      <c r="D191" s="25" t="s">
        <v>17</v>
      </c>
      <c r="E191" s="26">
        <v>0</v>
      </c>
      <c r="F191" s="26"/>
      <c r="G191" s="27"/>
      <c r="H191" s="27"/>
      <c r="I191" s="26"/>
      <c r="J191" s="25" t="s">
        <v>17</v>
      </c>
      <c r="K191" s="26">
        <f t="shared" si="8"/>
        <v>0.288764</v>
      </c>
      <c r="L191" s="26"/>
      <c r="M191" s="26">
        <v>0.288764</v>
      </c>
      <c r="N191" s="26"/>
      <c r="O191" s="26"/>
    </row>
    <row r="192" s="2" customFormat="1" ht="37.5" spans="1:15">
      <c r="A192" s="31">
        <v>112</v>
      </c>
      <c r="B192" s="32" t="s">
        <v>137</v>
      </c>
      <c r="C192" s="33" t="s">
        <v>16</v>
      </c>
      <c r="D192" s="25" t="s">
        <v>18</v>
      </c>
      <c r="E192" s="26">
        <f t="shared" ref="E192:E195" si="15">F192+G192+H192+I192</f>
        <v>56</v>
      </c>
      <c r="F192" s="26"/>
      <c r="G192" s="27"/>
      <c r="H192" s="27"/>
      <c r="I192" s="26">
        <v>56</v>
      </c>
      <c r="J192" s="25" t="s">
        <v>18</v>
      </c>
      <c r="K192" s="26">
        <f t="shared" si="8"/>
        <v>53.884539</v>
      </c>
      <c r="L192" s="26"/>
      <c r="M192" s="26"/>
      <c r="N192" s="26"/>
      <c r="O192" s="42">
        <f>16.7536+37.130939</f>
        <v>53.884539</v>
      </c>
    </row>
    <row r="193" s="2" customFormat="1" ht="37.5" spans="1:15">
      <c r="A193" s="37"/>
      <c r="B193" s="38"/>
      <c r="C193" s="39"/>
      <c r="D193" s="25" t="s">
        <v>17</v>
      </c>
      <c r="E193" s="26">
        <v>0</v>
      </c>
      <c r="F193" s="26"/>
      <c r="G193" s="27"/>
      <c r="H193" s="27"/>
      <c r="I193" s="26"/>
      <c r="J193" s="25" t="s">
        <v>17</v>
      </c>
      <c r="K193" s="26">
        <f t="shared" si="8"/>
        <v>1.666533</v>
      </c>
      <c r="L193" s="26"/>
      <c r="M193" s="26">
        <v>1.666533</v>
      </c>
      <c r="N193" s="26"/>
      <c r="O193" s="42"/>
    </row>
    <row r="194" s="2" customFormat="1" ht="48" customHeight="1" spans="1:15">
      <c r="A194" s="23">
        <v>113</v>
      </c>
      <c r="B194" s="24" t="s">
        <v>138</v>
      </c>
      <c r="C194" s="25" t="s">
        <v>94</v>
      </c>
      <c r="D194" s="25" t="s">
        <v>17</v>
      </c>
      <c r="E194" s="26">
        <f t="shared" si="15"/>
        <v>43.708526</v>
      </c>
      <c r="F194" s="26"/>
      <c r="G194" s="27">
        <v>43.708526</v>
      </c>
      <c r="H194" s="27"/>
      <c r="I194" s="26"/>
      <c r="J194" s="25" t="s">
        <v>17</v>
      </c>
      <c r="K194" s="26">
        <f t="shared" si="8"/>
        <v>45.060336</v>
      </c>
      <c r="L194" s="26"/>
      <c r="M194" s="26">
        <f>14.215086+5.686034+8.529052+11.8459+3.432454+1.35181</f>
        <v>45.060336</v>
      </c>
      <c r="N194" s="26"/>
      <c r="O194" s="26"/>
    </row>
    <row r="195" s="2" customFormat="1" ht="37.5" spans="1:15">
      <c r="A195" s="31">
        <v>114</v>
      </c>
      <c r="B195" s="32" t="s">
        <v>139</v>
      </c>
      <c r="C195" s="33" t="s">
        <v>16</v>
      </c>
      <c r="D195" s="25" t="s">
        <v>18</v>
      </c>
      <c r="E195" s="26">
        <f t="shared" si="15"/>
        <v>10</v>
      </c>
      <c r="F195" s="26"/>
      <c r="G195" s="27"/>
      <c r="H195" s="27"/>
      <c r="I195" s="26">
        <v>10</v>
      </c>
      <c r="J195" s="25" t="s">
        <v>18</v>
      </c>
      <c r="K195" s="26">
        <f t="shared" si="8"/>
        <v>9.7</v>
      </c>
      <c r="L195" s="26"/>
      <c r="M195" s="26"/>
      <c r="N195" s="26"/>
      <c r="O195" s="26">
        <f>3+6.7</f>
        <v>9.7</v>
      </c>
    </row>
    <row r="196" s="2" customFormat="1" ht="37.5" spans="1:15">
      <c r="A196" s="37"/>
      <c r="B196" s="38"/>
      <c r="C196" s="39"/>
      <c r="D196" s="25" t="s">
        <v>17</v>
      </c>
      <c r="E196" s="26">
        <v>0</v>
      </c>
      <c r="F196" s="26"/>
      <c r="G196" s="27"/>
      <c r="H196" s="27"/>
      <c r="I196" s="26"/>
      <c r="J196" s="25" t="s">
        <v>17</v>
      </c>
      <c r="K196" s="26">
        <f t="shared" si="8"/>
        <v>0.3</v>
      </c>
      <c r="L196" s="26"/>
      <c r="M196" s="26">
        <v>0.3</v>
      </c>
      <c r="N196" s="26"/>
      <c r="O196" s="26"/>
    </row>
    <row r="197" s="2" customFormat="1" ht="37.5" spans="1:15">
      <c r="A197" s="31">
        <v>115</v>
      </c>
      <c r="B197" s="32" t="s">
        <v>140</v>
      </c>
      <c r="C197" s="33" t="s">
        <v>16</v>
      </c>
      <c r="D197" s="25" t="s">
        <v>49</v>
      </c>
      <c r="E197" s="26">
        <f t="shared" ref="E197:E210" si="16">F197+G197+H197+I197</f>
        <v>50</v>
      </c>
      <c r="F197" s="26">
        <v>14.7772</v>
      </c>
      <c r="G197" s="27">
        <v>35.2228</v>
      </c>
      <c r="H197" s="27"/>
      <c r="I197" s="26"/>
      <c r="J197" s="25" t="s">
        <v>49</v>
      </c>
      <c r="K197" s="26">
        <f t="shared" si="8"/>
        <v>45.7178</v>
      </c>
      <c r="L197" s="26">
        <f>14.7772</f>
        <v>14.7772</v>
      </c>
      <c r="M197" s="26">
        <f>14.7773+9.8515+6.3118</f>
        <v>30.9406</v>
      </c>
      <c r="N197" s="26"/>
      <c r="O197" s="26"/>
    </row>
    <row r="198" s="2" customFormat="1" ht="37.5" spans="1:15">
      <c r="A198" s="37"/>
      <c r="B198" s="38"/>
      <c r="C198" s="39"/>
      <c r="D198" s="25" t="s">
        <v>17</v>
      </c>
      <c r="E198" s="26">
        <v>0</v>
      </c>
      <c r="F198" s="26"/>
      <c r="G198" s="27"/>
      <c r="H198" s="27"/>
      <c r="I198" s="26"/>
      <c r="J198" s="25" t="s">
        <v>17</v>
      </c>
      <c r="K198" s="26">
        <f t="shared" si="8"/>
        <v>1.414024</v>
      </c>
      <c r="L198" s="26"/>
      <c r="M198" s="26">
        <v>1.414024</v>
      </c>
      <c r="N198" s="26"/>
      <c r="O198" s="26"/>
    </row>
    <row r="199" s="2" customFormat="1" ht="55" customHeight="1" spans="1:15">
      <c r="A199" s="31">
        <v>116</v>
      </c>
      <c r="B199" s="24" t="s">
        <v>141</v>
      </c>
      <c r="C199" s="25" t="s">
        <v>16</v>
      </c>
      <c r="D199" s="25" t="s">
        <v>17</v>
      </c>
      <c r="E199" s="26">
        <f t="shared" si="16"/>
        <v>55</v>
      </c>
      <c r="F199" s="26"/>
      <c r="G199" s="27">
        <v>55</v>
      </c>
      <c r="H199" s="27"/>
      <c r="I199" s="26"/>
      <c r="J199" s="25" t="s">
        <v>17</v>
      </c>
      <c r="K199" s="26">
        <f t="shared" ref="K199:K217" si="17">L199+M199+N199+O199</f>
        <v>47.615</v>
      </c>
      <c r="L199" s="26"/>
      <c r="M199" s="26">
        <f>16.05+31.565</f>
        <v>47.615</v>
      </c>
      <c r="N199" s="26"/>
      <c r="O199" s="26"/>
    </row>
    <row r="200" s="2" customFormat="1" ht="37.5" spans="1:15">
      <c r="A200" s="31">
        <v>117</v>
      </c>
      <c r="B200" s="24" t="s">
        <v>142</v>
      </c>
      <c r="C200" s="25" t="s">
        <v>143</v>
      </c>
      <c r="D200" s="25" t="s">
        <v>17</v>
      </c>
      <c r="E200" s="26">
        <f t="shared" si="16"/>
        <v>9</v>
      </c>
      <c r="F200" s="26">
        <v>9</v>
      </c>
      <c r="G200" s="27"/>
      <c r="H200" s="27"/>
      <c r="I200" s="28"/>
      <c r="J200" s="25" t="s">
        <v>17</v>
      </c>
      <c r="K200" s="26">
        <f t="shared" si="17"/>
        <v>9.289961</v>
      </c>
      <c r="L200" s="26">
        <f>2.899617+2.899616+2.899617+0.30115</f>
        <v>9</v>
      </c>
      <c r="M200" s="26">
        <v>0.289961</v>
      </c>
      <c r="N200" s="26"/>
      <c r="O200" s="26"/>
    </row>
    <row r="201" s="2" customFormat="1" ht="37.5" spans="1:15">
      <c r="A201" s="37"/>
      <c r="B201" s="24"/>
      <c r="C201" s="25"/>
      <c r="D201" s="25" t="s">
        <v>18</v>
      </c>
      <c r="E201" s="26">
        <f t="shared" si="16"/>
        <v>0.375428</v>
      </c>
      <c r="F201" s="26"/>
      <c r="G201" s="27"/>
      <c r="H201" s="27"/>
      <c r="I201" s="26">
        <v>0.375428</v>
      </c>
      <c r="J201" s="25" t="s">
        <v>18</v>
      </c>
      <c r="K201" s="26">
        <f t="shared" si="17"/>
        <v>0.375428</v>
      </c>
      <c r="L201" s="26"/>
      <c r="M201" s="26"/>
      <c r="N201" s="26"/>
      <c r="O201" s="26">
        <f>0.375428</f>
        <v>0.375428</v>
      </c>
    </row>
    <row r="202" s="1" customFormat="1" ht="48" customHeight="1" spans="1:15">
      <c r="A202" s="23">
        <v>118</v>
      </c>
      <c r="B202" s="24" t="s">
        <v>144</v>
      </c>
      <c r="C202" s="25" t="s">
        <v>94</v>
      </c>
      <c r="D202" s="25" t="s">
        <v>17</v>
      </c>
      <c r="E202" s="26">
        <f t="shared" si="16"/>
        <v>62.32</v>
      </c>
      <c r="F202" s="26"/>
      <c r="G202" s="27">
        <v>62.32</v>
      </c>
      <c r="H202" s="27"/>
      <c r="I202" s="26"/>
      <c r="J202" s="25" t="s">
        <v>17</v>
      </c>
      <c r="K202" s="26">
        <f t="shared" si="17"/>
        <v>68.1209</v>
      </c>
      <c r="L202" s="26"/>
      <c r="M202" s="26">
        <f>20.98137+20.98137+13.98758+10.126953+2.043627</f>
        <v>68.1209</v>
      </c>
      <c r="N202" s="26"/>
      <c r="O202" s="26"/>
    </row>
    <row r="203" s="1" customFormat="1" ht="37.5" spans="1:15">
      <c r="A203" s="31">
        <v>119</v>
      </c>
      <c r="B203" s="24" t="s">
        <v>145</v>
      </c>
      <c r="C203" s="25" t="s">
        <v>16</v>
      </c>
      <c r="D203" s="25" t="s">
        <v>17</v>
      </c>
      <c r="E203" s="26">
        <f t="shared" si="16"/>
        <v>55</v>
      </c>
      <c r="F203" s="26"/>
      <c r="G203" s="27">
        <v>55</v>
      </c>
      <c r="H203" s="27"/>
      <c r="I203" s="26"/>
      <c r="J203" s="25" t="s">
        <v>17</v>
      </c>
      <c r="K203" s="26">
        <f t="shared" si="17"/>
        <v>15.976902</v>
      </c>
      <c r="L203" s="26"/>
      <c r="M203" s="26">
        <v>15.976902</v>
      </c>
      <c r="N203" s="26"/>
      <c r="O203" s="26"/>
    </row>
    <row r="204" s="1" customFormat="1" ht="37.5" spans="1:15">
      <c r="A204" s="37"/>
      <c r="B204" s="24"/>
      <c r="C204" s="25"/>
      <c r="D204" s="25" t="s">
        <v>49</v>
      </c>
      <c r="E204" s="26">
        <f t="shared" si="16"/>
        <v>0</v>
      </c>
      <c r="F204" s="26"/>
      <c r="G204" s="27"/>
      <c r="H204" s="27"/>
      <c r="I204" s="26"/>
      <c r="J204" s="25" t="s">
        <v>49</v>
      </c>
      <c r="K204" s="26">
        <f t="shared" si="17"/>
        <v>26.628169</v>
      </c>
      <c r="L204" s="26"/>
      <c r="M204" s="26">
        <f>26.628169</f>
        <v>26.628169</v>
      </c>
      <c r="N204" s="26"/>
      <c r="O204" s="26"/>
    </row>
    <row r="205" s="1" customFormat="1" ht="37.5" spans="1:15">
      <c r="A205" s="31">
        <v>120</v>
      </c>
      <c r="B205" s="32" t="s">
        <v>146</v>
      </c>
      <c r="C205" s="33" t="s">
        <v>16</v>
      </c>
      <c r="D205" s="25" t="s">
        <v>17</v>
      </c>
      <c r="E205" s="26">
        <f t="shared" si="16"/>
        <v>27</v>
      </c>
      <c r="F205" s="26"/>
      <c r="G205" s="27">
        <v>27</v>
      </c>
      <c r="H205" s="27"/>
      <c r="I205" s="26"/>
      <c r="J205" s="25" t="s">
        <v>17</v>
      </c>
      <c r="K205" s="26">
        <f t="shared" si="17"/>
        <v>0</v>
      </c>
      <c r="L205" s="26"/>
      <c r="M205" s="26">
        <v>0</v>
      </c>
      <c r="N205" s="26"/>
      <c r="O205" s="26"/>
    </row>
    <row r="206" s="1" customFormat="1" ht="37.5" spans="1:15">
      <c r="A206" s="34"/>
      <c r="B206" s="35"/>
      <c r="C206" s="36"/>
      <c r="D206" s="25" t="s">
        <v>18</v>
      </c>
      <c r="E206" s="26">
        <f t="shared" si="16"/>
        <v>0</v>
      </c>
      <c r="F206" s="26"/>
      <c r="G206" s="27"/>
      <c r="H206" s="27"/>
      <c r="I206" s="26"/>
      <c r="J206" s="25" t="s">
        <v>18</v>
      </c>
      <c r="K206" s="26">
        <f t="shared" si="17"/>
        <v>8.981025</v>
      </c>
      <c r="L206" s="26"/>
      <c r="M206" s="26"/>
      <c r="N206" s="26"/>
      <c r="O206" s="26">
        <f>8.981025</f>
        <v>8.981025</v>
      </c>
    </row>
    <row r="207" s="1" customFormat="1" ht="37.5" spans="1:15">
      <c r="A207" s="37"/>
      <c r="B207" s="38"/>
      <c r="C207" s="39"/>
      <c r="D207" s="25" t="s">
        <v>111</v>
      </c>
      <c r="E207" s="26">
        <f t="shared" si="16"/>
        <v>0</v>
      </c>
      <c r="F207" s="26"/>
      <c r="G207" s="27"/>
      <c r="H207" s="27"/>
      <c r="I207" s="26"/>
      <c r="J207" s="25" t="s">
        <v>111</v>
      </c>
      <c r="K207" s="26">
        <f t="shared" si="17"/>
        <v>14.968375</v>
      </c>
      <c r="L207" s="26"/>
      <c r="M207" s="26"/>
      <c r="N207" s="26">
        <f>14.968375</f>
        <v>14.968375</v>
      </c>
      <c r="O207" s="26"/>
    </row>
    <row r="208" s="2" customFormat="1" ht="37.5" spans="1:15">
      <c r="A208" s="23">
        <v>121</v>
      </c>
      <c r="B208" s="24" t="s">
        <v>147</v>
      </c>
      <c r="C208" s="25" t="s">
        <v>148</v>
      </c>
      <c r="D208" s="25" t="s">
        <v>17</v>
      </c>
      <c r="E208" s="26">
        <f t="shared" si="16"/>
        <v>101</v>
      </c>
      <c r="F208" s="26">
        <v>61</v>
      </c>
      <c r="G208" s="27">
        <v>40</v>
      </c>
      <c r="H208" s="27"/>
      <c r="I208" s="28"/>
      <c r="J208" s="25" t="s">
        <v>17</v>
      </c>
      <c r="K208" s="26">
        <f t="shared" si="17"/>
        <v>101.223074</v>
      </c>
      <c r="L208" s="26">
        <f>11.671725+10.093752+2.98+8.256192+0.65+1.2574+1.4+1.9919+2.88+18.7793+0.8045-0.06+0.295231</f>
        <v>61</v>
      </c>
      <c r="M208" s="26">
        <f>23.049454+16.17853+0.289959+0.392144-0.2443+0.3+0.257287</f>
        <v>40.223074</v>
      </c>
      <c r="N208" s="26"/>
      <c r="O208" s="26"/>
    </row>
    <row r="209" s="2" customFormat="1" ht="37.5" spans="1:15">
      <c r="A209" s="23"/>
      <c r="B209" s="24"/>
      <c r="C209" s="25"/>
      <c r="D209" s="25" t="s">
        <v>18</v>
      </c>
      <c r="E209" s="26">
        <f t="shared" si="16"/>
        <v>240.71885</v>
      </c>
      <c r="F209" s="26"/>
      <c r="G209" s="27"/>
      <c r="H209" s="27"/>
      <c r="I209" s="26">
        <f>227.309205+1.409645+12</f>
        <v>240.71885</v>
      </c>
      <c r="J209" s="25" t="s">
        <v>18</v>
      </c>
      <c r="K209" s="26">
        <f t="shared" si="17"/>
        <v>350.532689</v>
      </c>
      <c r="L209" s="26"/>
      <c r="M209" s="26"/>
      <c r="N209" s="26"/>
      <c r="O209" s="26">
        <f>3.317877+57.05416+0.738+0.649+0.420018-11.4+0.3+0.34788+0.9611+1.22355+1.152+2.4+5.6+2.106534+1.643733+0.8724+9.7679+2.8692+0.8544+1.8482+0.765+2.628+0.2544+6.4+0.8778+24+2.7597+6.7558+5.649068+4.5+0.5696+1.05+0.173977+0.2+0.24+0.48+0.576566+1.275+3.0804+0.4+0.6798+2.6555+0.72+3.9+0.3+1.4772+1.70947+0.3+2+0.6+0.18+0.8+1.967205+3.9+8.769071+7.532+9+5.6+0.3188+29.538896+6.079676-0.52+3.218+0.528404+4.668368+16.0734+4.3839+2.21623+0.820233+19.090268+44.59848+2.883875+9.92586+3.193877+0.7+0.1071+2.6231+0.15+1+1.482713</f>
        <v>350.532689</v>
      </c>
    </row>
    <row r="210" s="1" customFormat="1" ht="53" customHeight="1" spans="1:15">
      <c r="A210" s="44">
        <v>122</v>
      </c>
      <c r="B210" s="45" t="s">
        <v>149</v>
      </c>
      <c r="C210" s="46" t="s">
        <v>16</v>
      </c>
      <c r="D210" s="25" t="s">
        <v>18</v>
      </c>
      <c r="E210" s="26">
        <f t="shared" si="16"/>
        <v>10</v>
      </c>
      <c r="F210" s="28"/>
      <c r="G210" s="30"/>
      <c r="H210" s="30"/>
      <c r="I210" s="26">
        <v>10</v>
      </c>
      <c r="J210" s="25" t="s">
        <v>18</v>
      </c>
      <c r="K210" s="26">
        <f t="shared" si="17"/>
        <v>9.7</v>
      </c>
      <c r="L210" s="26"/>
      <c r="M210" s="26"/>
      <c r="N210" s="26"/>
      <c r="O210" s="26">
        <f>3+6.7</f>
        <v>9.7</v>
      </c>
    </row>
    <row r="211" s="6" customFormat="1" ht="38" customHeight="1" spans="1:15">
      <c r="A211" s="47"/>
      <c r="B211" s="48"/>
      <c r="C211" s="49"/>
      <c r="D211" s="25" t="s">
        <v>17</v>
      </c>
      <c r="E211" s="26">
        <v>0</v>
      </c>
      <c r="F211" s="26"/>
      <c r="G211" s="27"/>
      <c r="H211" s="27"/>
      <c r="I211" s="26"/>
      <c r="J211" s="25" t="s">
        <v>17</v>
      </c>
      <c r="K211" s="26">
        <f t="shared" si="17"/>
        <v>0.3</v>
      </c>
      <c r="L211" s="26"/>
      <c r="M211" s="26">
        <v>0.3</v>
      </c>
      <c r="N211" s="26"/>
      <c r="O211" s="26"/>
    </row>
    <row r="212" s="6" customFormat="1" ht="38" customHeight="1" spans="1:15">
      <c r="A212" s="44">
        <v>123</v>
      </c>
      <c r="B212" s="45" t="s">
        <v>150</v>
      </c>
      <c r="C212" s="46" t="s">
        <v>16</v>
      </c>
      <c r="D212" s="25" t="s">
        <v>17</v>
      </c>
      <c r="E212" s="26">
        <f t="shared" ref="E212:E217" si="18">F212+G212+H212+I212</f>
        <v>139.744734</v>
      </c>
      <c r="F212" s="26">
        <f>76+48.354333+13.124091</f>
        <v>137.478424</v>
      </c>
      <c r="G212" s="27">
        <f>415.5219-18-255.555+1.55-0.5169-20+6.037262-129.037262+2.26631</f>
        <v>2.26631</v>
      </c>
      <c r="H212" s="27"/>
      <c r="I212" s="26"/>
      <c r="J212" s="25" t="s">
        <v>17</v>
      </c>
      <c r="K212" s="26">
        <f t="shared" si="17"/>
        <v>78.482232</v>
      </c>
      <c r="L212" s="26">
        <v>71.756124</v>
      </c>
      <c r="M212" s="26">
        <v>6.726108</v>
      </c>
      <c r="N212" s="26"/>
      <c r="O212" s="26"/>
    </row>
    <row r="213" s="6" customFormat="1" ht="38" customHeight="1" spans="1:15">
      <c r="A213" s="47"/>
      <c r="B213" s="48"/>
      <c r="C213" s="49"/>
      <c r="D213" s="25" t="s">
        <v>23</v>
      </c>
      <c r="E213" s="26">
        <f t="shared" si="18"/>
        <v>60.531993</v>
      </c>
      <c r="F213" s="26">
        <f>50+10.531993</f>
        <v>60.531993</v>
      </c>
      <c r="G213" s="27"/>
      <c r="H213" s="27"/>
      <c r="I213" s="26"/>
      <c r="J213" s="25" t="s">
        <v>23</v>
      </c>
      <c r="K213" s="26">
        <f t="shared" si="17"/>
        <v>5.934407</v>
      </c>
      <c r="L213" s="26">
        <v>5.934407</v>
      </c>
      <c r="M213" s="26"/>
      <c r="N213" s="26"/>
      <c r="O213" s="26"/>
    </row>
    <row r="214" s="6" customFormat="1" ht="38" customHeight="1" spans="1:15">
      <c r="A214" s="47"/>
      <c r="B214" s="48"/>
      <c r="C214" s="49"/>
      <c r="D214" s="25" t="s">
        <v>49</v>
      </c>
      <c r="E214" s="26">
        <f t="shared" si="18"/>
        <v>14.7772</v>
      </c>
      <c r="F214" s="26"/>
      <c r="G214" s="27">
        <f>30-15.2228</f>
        <v>14.7772</v>
      </c>
      <c r="H214" s="27"/>
      <c r="I214" s="26"/>
      <c r="J214" s="25" t="s">
        <v>49</v>
      </c>
      <c r="K214" s="26">
        <f t="shared" si="17"/>
        <v>6.301614</v>
      </c>
      <c r="L214" s="26"/>
      <c r="M214" s="26">
        <v>6.301614</v>
      </c>
      <c r="N214" s="26"/>
      <c r="O214" s="26"/>
    </row>
    <row r="215" s="6" customFormat="1" ht="38" customHeight="1" spans="1:15">
      <c r="A215" s="47"/>
      <c r="B215" s="48"/>
      <c r="C215" s="49"/>
      <c r="D215" s="25" t="s">
        <v>33</v>
      </c>
      <c r="E215" s="26">
        <f t="shared" si="18"/>
        <v>70.923982</v>
      </c>
      <c r="F215" s="26"/>
      <c r="G215" s="27"/>
      <c r="H215" s="27">
        <f>48.90465+0.035997+21.983335</f>
        <v>70.923982</v>
      </c>
      <c r="I215" s="26"/>
      <c r="J215" s="25" t="s">
        <v>33</v>
      </c>
      <c r="K215" s="26">
        <f t="shared" si="17"/>
        <v>93.481675</v>
      </c>
      <c r="L215" s="26"/>
      <c r="M215" s="26"/>
      <c r="N215" s="26">
        <v>93.481675</v>
      </c>
      <c r="O215" s="26"/>
    </row>
    <row r="216" s="6" customFormat="1" ht="39" customHeight="1" spans="1:15">
      <c r="A216" s="47"/>
      <c r="B216" s="48"/>
      <c r="C216" s="49"/>
      <c r="D216" s="25" t="s">
        <v>18</v>
      </c>
      <c r="E216" s="26">
        <f t="shared" si="18"/>
        <v>134.022091</v>
      </c>
      <c r="F216" s="26"/>
      <c r="G216" s="27"/>
      <c r="H216" s="27"/>
      <c r="I216" s="26">
        <f>146.0221-0.000009-12</f>
        <v>134.022091</v>
      </c>
      <c r="J216" s="25" t="s">
        <v>18</v>
      </c>
      <c r="K216" s="26">
        <f t="shared" si="17"/>
        <v>134.022091</v>
      </c>
      <c r="L216" s="26"/>
      <c r="M216" s="26"/>
      <c r="N216" s="26"/>
      <c r="O216" s="26">
        <v>134.022091</v>
      </c>
    </row>
    <row r="217" s="1" customFormat="1" ht="24" customHeight="1" spans="1:15">
      <c r="A217" s="50" t="s">
        <v>151</v>
      </c>
      <c r="B217" s="51"/>
      <c r="C217" s="52"/>
      <c r="D217" s="53"/>
      <c r="E217" s="54">
        <f t="shared" si="18"/>
        <v>15389</v>
      </c>
      <c r="F217" s="55">
        <f t="shared" ref="F217:I217" si="19">SUM(F7:F216)</f>
        <v>7589</v>
      </c>
      <c r="G217" s="56">
        <f t="shared" si="19"/>
        <v>4944</v>
      </c>
      <c r="H217" s="56">
        <f t="shared" si="19"/>
        <v>673</v>
      </c>
      <c r="I217" s="55">
        <f t="shared" si="19"/>
        <v>2183</v>
      </c>
      <c r="J217" s="57"/>
      <c r="K217" s="54">
        <f t="shared" si="17"/>
        <v>15389</v>
      </c>
      <c r="L217" s="55">
        <f t="shared" ref="L217:O217" si="20">SUM(L7:L216)</f>
        <v>7589</v>
      </c>
      <c r="M217" s="55">
        <f t="shared" si="20"/>
        <v>4944</v>
      </c>
      <c r="N217" s="55">
        <f t="shared" si="20"/>
        <v>673</v>
      </c>
      <c r="O217" s="55">
        <f t="shared" si="20"/>
        <v>2183</v>
      </c>
    </row>
  </sheetData>
  <mergeCells count="225">
    <mergeCell ref="A1:B1"/>
    <mergeCell ref="A2:O2"/>
    <mergeCell ref="D4:I4"/>
    <mergeCell ref="J4:O4"/>
    <mergeCell ref="E5:I5"/>
    <mergeCell ref="K5:O5"/>
    <mergeCell ref="A217:D217"/>
    <mergeCell ref="A4:A6"/>
    <mergeCell ref="A7:A8"/>
    <mergeCell ref="A9:A10"/>
    <mergeCell ref="A11:A12"/>
    <mergeCell ref="A14:A16"/>
    <mergeCell ref="A17:A18"/>
    <mergeCell ref="A19:A20"/>
    <mergeCell ref="A21:A22"/>
    <mergeCell ref="A23:A24"/>
    <mergeCell ref="A25:A27"/>
    <mergeCell ref="A28:A29"/>
    <mergeCell ref="A31:A33"/>
    <mergeCell ref="A34:A36"/>
    <mergeCell ref="A37:A38"/>
    <mergeCell ref="A39:A40"/>
    <mergeCell ref="A41:A42"/>
    <mergeCell ref="A43:A44"/>
    <mergeCell ref="A45:A46"/>
    <mergeCell ref="A47:A48"/>
    <mergeCell ref="A50:A51"/>
    <mergeCell ref="A55:A57"/>
    <mergeCell ref="A63:A64"/>
    <mergeCell ref="A65:A66"/>
    <mergeCell ref="A67:A68"/>
    <mergeCell ref="A69:A70"/>
    <mergeCell ref="A72:A73"/>
    <mergeCell ref="A74:A75"/>
    <mergeCell ref="A76:A77"/>
    <mergeCell ref="A78:A79"/>
    <mergeCell ref="A80:A81"/>
    <mergeCell ref="A82:A83"/>
    <mergeCell ref="A84:A85"/>
    <mergeCell ref="A86:A88"/>
    <mergeCell ref="A89:A91"/>
    <mergeCell ref="A92:A93"/>
    <mergeCell ref="A94:A96"/>
    <mergeCell ref="A97:A98"/>
    <mergeCell ref="A112:A114"/>
    <mergeCell ref="A116:A118"/>
    <mergeCell ref="A121:A122"/>
    <mergeCell ref="A123:A124"/>
    <mergeCell ref="A125:A126"/>
    <mergeCell ref="A127:A128"/>
    <mergeCell ref="A131:A132"/>
    <mergeCell ref="A133:A134"/>
    <mergeCell ref="A136:A137"/>
    <mergeCell ref="A138:A140"/>
    <mergeCell ref="A141:A142"/>
    <mergeCell ref="A143:A144"/>
    <mergeCell ref="A145:A146"/>
    <mergeCell ref="A147:A148"/>
    <mergeCell ref="A149:A150"/>
    <mergeCell ref="A151:A152"/>
    <mergeCell ref="A155:A157"/>
    <mergeCell ref="A158:A159"/>
    <mergeCell ref="A162:A163"/>
    <mergeCell ref="A164:A165"/>
    <mergeCell ref="A166:A167"/>
    <mergeCell ref="A168:A169"/>
    <mergeCell ref="A177:A178"/>
    <mergeCell ref="A183:A184"/>
    <mergeCell ref="A186:A187"/>
    <mergeCell ref="A190:A191"/>
    <mergeCell ref="A192:A193"/>
    <mergeCell ref="A195:A196"/>
    <mergeCell ref="A197:A198"/>
    <mergeCell ref="A200:A201"/>
    <mergeCell ref="A203:A204"/>
    <mergeCell ref="A205:A207"/>
    <mergeCell ref="A208:A209"/>
    <mergeCell ref="A210:A211"/>
    <mergeCell ref="A212:A216"/>
    <mergeCell ref="B4:B6"/>
    <mergeCell ref="B7:B8"/>
    <mergeCell ref="B9:B10"/>
    <mergeCell ref="B11:B12"/>
    <mergeCell ref="B14:B16"/>
    <mergeCell ref="B17:B18"/>
    <mergeCell ref="B19:B20"/>
    <mergeCell ref="B21:B22"/>
    <mergeCell ref="B23:B24"/>
    <mergeCell ref="B25:B27"/>
    <mergeCell ref="B28:B29"/>
    <mergeCell ref="B31:B33"/>
    <mergeCell ref="B34:B36"/>
    <mergeCell ref="B37:B38"/>
    <mergeCell ref="B39:B40"/>
    <mergeCell ref="B41:B42"/>
    <mergeCell ref="B43:B44"/>
    <mergeCell ref="B45:B46"/>
    <mergeCell ref="B47:B48"/>
    <mergeCell ref="B50:B51"/>
    <mergeCell ref="B55:B57"/>
    <mergeCell ref="B63:B64"/>
    <mergeCell ref="B65:B66"/>
    <mergeCell ref="B67:B68"/>
    <mergeCell ref="B69:B70"/>
    <mergeCell ref="B72:B73"/>
    <mergeCell ref="B74:B75"/>
    <mergeCell ref="B76:B77"/>
    <mergeCell ref="B78:B79"/>
    <mergeCell ref="B80:B81"/>
    <mergeCell ref="B82:B83"/>
    <mergeCell ref="B84:B85"/>
    <mergeCell ref="B86:B88"/>
    <mergeCell ref="B89:B91"/>
    <mergeCell ref="B92:B93"/>
    <mergeCell ref="B94:B96"/>
    <mergeCell ref="B97:B98"/>
    <mergeCell ref="B112:B114"/>
    <mergeCell ref="B116:B118"/>
    <mergeCell ref="B121:B122"/>
    <mergeCell ref="B123:B124"/>
    <mergeCell ref="B125:B126"/>
    <mergeCell ref="B127:B128"/>
    <mergeCell ref="B131:B132"/>
    <mergeCell ref="B133:B134"/>
    <mergeCell ref="B136:B137"/>
    <mergeCell ref="B138:B140"/>
    <mergeCell ref="B141:B142"/>
    <mergeCell ref="B143:B144"/>
    <mergeCell ref="B145:B146"/>
    <mergeCell ref="B147:B148"/>
    <mergeCell ref="B149:B150"/>
    <mergeCell ref="B151:B152"/>
    <mergeCell ref="B155:B157"/>
    <mergeCell ref="B158:B159"/>
    <mergeCell ref="B162:B163"/>
    <mergeCell ref="B164:B165"/>
    <mergeCell ref="B166:B167"/>
    <mergeCell ref="B168:B169"/>
    <mergeCell ref="B177:B178"/>
    <mergeCell ref="B183:B184"/>
    <mergeCell ref="B186:B187"/>
    <mergeCell ref="B190:B191"/>
    <mergeCell ref="B192:B193"/>
    <mergeCell ref="B195:B196"/>
    <mergeCell ref="B197:B198"/>
    <mergeCell ref="B200:B201"/>
    <mergeCell ref="B203:B204"/>
    <mergeCell ref="B205:B207"/>
    <mergeCell ref="B208:B209"/>
    <mergeCell ref="B210:B211"/>
    <mergeCell ref="B212:B216"/>
    <mergeCell ref="C4:C6"/>
    <mergeCell ref="C7:C8"/>
    <mergeCell ref="C9:C10"/>
    <mergeCell ref="C11:C12"/>
    <mergeCell ref="C14:C16"/>
    <mergeCell ref="C17:C18"/>
    <mergeCell ref="C19:C20"/>
    <mergeCell ref="C21:C22"/>
    <mergeCell ref="C23:C24"/>
    <mergeCell ref="C25:C27"/>
    <mergeCell ref="C28:C29"/>
    <mergeCell ref="C31:C33"/>
    <mergeCell ref="C34:C36"/>
    <mergeCell ref="C37:C38"/>
    <mergeCell ref="C39:C40"/>
    <mergeCell ref="C41:C42"/>
    <mergeCell ref="C43:C44"/>
    <mergeCell ref="C45:C46"/>
    <mergeCell ref="C47:C48"/>
    <mergeCell ref="C50:C51"/>
    <mergeCell ref="C55:C57"/>
    <mergeCell ref="C63:C64"/>
    <mergeCell ref="C65:C66"/>
    <mergeCell ref="C67:C68"/>
    <mergeCell ref="C69:C70"/>
    <mergeCell ref="C72:C73"/>
    <mergeCell ref="C74:C75"/>
    <mergeCell ref="C76:C77"/>
    <mergeCell ref="C78:C79"/>
    <mergeCell ref="C80:C81"/>
    <mergeCell ref="C82:C83"/>
    <mergeCell ref="C84:C85"/>
    <mergeCell ref="C86:C88"/>
    <mergeCell ref="C89:C91"/>
    <mergeCell ref="C92:C93"/>
    <mergeCell ref="C94:C96"/>
    <mergeCell ref="C97:C98"/>
    <mergeCell ref="C112:C114"/>
    <mergeCell ref="C116:C118"/>
    <mergeCell ref="C121:C122"/>
    <mergeCell ref="C123:C124"/>
    <mergeCell ref="C125:C126"/>
    <mergeCell ref="C127:C128"/>
    <mergeCell ref="C131:C132"/>
    <mergeCell ref="C133:C134"/>
    <mergeCell ref="C136:C137"/>
    <mergeCell ref="C138:C140"/>
    <mergeCell ref="C141:C142"/>
    <mergeCell ref="C143:C144"/>
    <mergeCell ref="C145:C146"/>
    <mergeCell ref="C147:C148"/>
    <mergeCell ref="C149:C150"/>
    <mergeCell ref="C151:C152"/>
    <mergeCell ref="C155:C157"/>
    <mergeCell ref="C158:C159"/>
    <mergeCell ref="C162:C163"/>
    <mergeCell ref="C164:C165"/>
    <mergeCell ref="C166:C167"/>
    <mergeCell ref="C168:C169"/>
    <mergeCell ref="C177:C178"/>
    <mergeCell ref="C183:C184"/>
    <mergeCell ref="C186:C187"/>
    <mergeCell ref="C190:C191"/>
    <mergeCell ref="C192:C193"/>
    <mergeCell ref="C195:C196"/>
    <mergeCell ref="C197:C198"/>
    <mergeCell ref="C200:C201"/>
    <mergeCell ref="C203:C204"/>
    <mergeCell ref="C205:C207"/>
    <mergeCell ref="C208:C209"/>
    <mergeCell ref="C210:C211"/>
    <mergeCell ref="C212:C216"/>
    <mergeCell ref="D5:D6"/>
    <mergeCell ref="J5:J6"/>
  </mergeCells>
  <conditionalFormatting sqref="D3">
    <cfRule type="duplicateValues" dxfId="0" priority="8"/>
    <cfRule type="duplicateValues" dxfId="1" priority="7"/>
  </conditionalFormatting>
  <conditionalFormatting sqref="G3">
    <cfRule type="duplicateValues" dxfId="0" priority="6"/>
    <cfRule type="duplicateValues" dxfId="1" priority="5"/>
  </conditionalFormatting>
  <conditionalFormatting sqref="J4">
    <cfRule type="duplicateValues" dxfId="0" priority="2"/>
    <cfRule type="duplicateValues" dxfId="1" priority="1"/>
  </conditionalFormatting>
  <conditionalFormatting sqref="B7:B216">
    <cfRule type="duplicateValues" dxfId="2" priority="9"/>
  </conditionalFormatting>
  <conditionalFormatting sqref="D4 B4">
    <cfRule type="duplicateValues" dxfId="0" priority="4"/>
    <cfRule type="duplicateValues" dxfId="1" priority="3"/>
  </conditionalFormatting>
  <pageMargins left="0.511805555555556" right="0.196527777777778" top="0.314583333333333" bottom="0.0784722222222222" header="0.196527777777778" footer="0.156944444444444"/>
  <pageSetup paperSize="9" scale="81" firstPageNumber="3" fitToHeight="0" orientation="landscape" useFirstPageNumber="1" horizontalDpi="600"/>
  <headerFooter differentOddEven="1">
    <oddFooter>&amp;R&amp;16- &amp;P -</oddFooter>
    <evenFooter>&amp;L&amp;16- &amp;P -</even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WPS_658057520</cp:lastModifiedBy>
  <dcterms:created xsi:type="dcterms:W3CDTF">2025-12-30T08:00:00Z</dcterms:created>
  <dcterms:modified xsi:type="dcterms:W3CDTF">2026-01-27T00:38:16Z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D11EA0413FBB4725800C72AD635E73CD_13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